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2120" windowHeight="9120" tabRatio="763" activeTab="0"/>
  </bookViews>
  <sheets>
    <sheet name="B01-DN " sheetId="1" r:id="rId1"/>
    <sheet name="B02-DN" sheetId="2" r:id="rId2"/>
    <sheet name="B03-DN" sheetId="3" r:id="rId3"/>
    <sheet name="B09-DN-P1" sheetId="4" r:id="rId4"/>
    <sheet name="PB01" sheetId="5" r:id="rId5"/>
    <sheet name="PB02" sheetId="6" r:id="rId6"/>
    <sheet name="PB03" sheetId="7" r:id="rId7"/>
    <sheet name="PB04" sheetId="8" r:id="rId8"/>
    <sheet name="PB05a" sheetId="9" r:id="rId9"/>
    <sheet name="PB05b " sheetId="10" r:id="rId10"/>
    <sheet name="PB06 " sheetId="11" r:id="rId11"/>
    <sheet name="PB07" sheetId="12" r:id="rId12"/>
    <sheet name="PB08" sheetId="13" r:id="rId13"/>
    <sheet name="PB09" sheetId="14" r:id="rId14"/>
    <sheet name="B09-DN-P2" sheetId="15" r:id="rId15"/>
  </sheets>
  <definedNames>
    <definedName name="_xlnm.Print_Titles" localSheetId="0">'B01-DN '!$6:$7</definedName>
    <definedName name="_xlnm.Print_Titles" localSheetId="3">'B09-DN-P1'!$4:$5</definedName>
    <definedName name="_xlnm.Print_Titles" localSheetId="14">'B09-DN-P2'!$3:$4</definedName>
  </definedNames>
  <calcPr fullCalcOnLoad="1"/>
</workbook>
</file>

<file path=xl/sharedStrings.xml><?xml version="1.0" encoding="utf-8"?>
<sst xmlns="http://schemas.openxmlformats.org/spreadsheetml/2006/main" count="1451" uniqueCount="760">
  <si>
    <t>TỔNG CÔNG TY XĂNG DẦU VIỆT NAM</t>
  </si>
  <si>
    <t>BẢNG CÂN ĐỐI KẾ TOÁN</t>
  </si>
  <si>
    <t>ĐVT: Đồng</t>
  </si>
  <si>
    <t>CHỈ TIÊU</t>
  </si>
  <si>
    <t>Mã số</t>
  </si>
  <si>
    <t>Thuyết minh</t>
  </si>
  <si>
    <t>Số cuối năm</t>
  </si>
  <si>
    <t>Số đầu năm</t>
  </si>
  <si>
    <t>TÀI SẢN</t>
  </si>
  <si>
    <t>A. TÀI SẢN NGẮN HẠN (100=110+120+130+140+150)</t>
  </si>
  <si>
    <t>100</t>
  </si>
  <si>
    <t/>
  </si>
  <si>
    <t>I. Tiền và các khoản tương đương tiền</t>
  </si>
  <si>
    <t>110</t>
  </si>
  <si>
    <t>1.Tiền</t>
  </si>
  <si>
    <t>111</t>
  </si>
  <si>
    <t>V.01</t>
  </si>
  <si>
    <t xml:space="preserve">2. Các khoản tương đương tiền </t>
  </si>
  <si>
    <t>112</t>
  </si>
  <si>
    <t>II. Các khoản đầu tư tài chính ngắn hạn</t>
  </si>
  <si>
    <t>120</t>
  </si>
  <si>
    <t>V.02</t>
  </si>
  <si>
    <t xml:space="preserve">1. Đầu tư ngắn hạn </t>
  </si>
  <si>
    <t>121</t>
  </si>
  <si>
    <t>2. Dự phòng giảm giá chứng khoán đầu tư ngắn hạn (*)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</si>
  <si>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</si>
  <si>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</si>
  <si>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</si>
  <si>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</si>
  <si>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</si>
  <si>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</si>
  <si>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</si>
  <si>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</si>
  <si>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</si>
  <si>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V.02a</t>
  </si>
  <si>
    <t>4. Phải thu theo tiến độ kế hoạch hợp đồng xây dựng</t>
  </si>
  <si>
    <t>134</t>
  </si>
  <si>
    <t>5. Các khoản phải thu khác</t>
  </si>
  <si>
    <t>135</t>
  </si>
  <si>
    <t>V.03</t>
  </si>
  <si>
    <t>6. Dự phòng phải thu ngắn hạn khó đòi (*)</t>
  </si>
  <si>
    <t>139</t>
  </si>
  <si>
    <t>IV. Hàng tồn kho</t>
  </si>
  <si>
    <t>140</t>
  </si>
  <si>
    <t xml:space="preserve">1. Hàng tồn kho </t>
  </si>
  <si>
    <t>141</t>
  </si>
  <si>
    <t>V.04</t>
  </si>
  <si>
    <t>2. Dự phòng giảm giá hàng tồn kho (*)</t>
  </si>
  <si>
    <t>149</t>
  </si>
  <si>
    <t>V. 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</si>
  <si>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</si>
  <si>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</si>
  <si>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</si>
  <si>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</si>
  <si>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</si>
  <si>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 Nhà nước</t>
  </si>
  <si>
    <t>154</t>
  </si>
  <si>
    <t>V.05</t>
  </si>
  <si>
    <t xml:space="preserve">4. Tài sản ngắn hạn khác </t>
  </si>
  <si>
    <t>158</t>
  </si>
  <si>
    <t>V.05a</t>
  </si>
  <si>
    <t>B. TÀI SẢN DÀI HẠN (200=210+220+240+250+260)</t>
  </si>
  <si>
    <t>200</t>
  </si>
  <si>
    <t>I. Các khoản phải thu dài hạn</t>
  </si>
  <si>
    <t>210</t>
  </si>
  <si>
    <t>1.Phải thu dài hạn của khách hàng</t>
  </si>
  <si>
    <t>211</t>
  </si>
  <si>
    <t>2.Vốn kinh doanh ở đơn vị trực thuộc</t>
  </si>
  <si>
    <t>212</t>
  </si>
  <si>
    <t xml:space="preserve">3. Phải thu dài hạn nội bộ </t>
  </si>
  <si>
    <t>213</t>
  </si>
  <si>
    <t>V.06</t>
  </si>
  <si>
    <t>4.Phải thu dài hạn khác</t>
  </si>
  <si>
    <t>218</t>
  </si>
  <si>
    <t>V.07</t>
  </si>
  <si>
    <t>5. Dự phòng phải thu dài hạn khó đòi (*)</t>
  </si>
  <si>
    <t>219</t>
  </si>
  <si>
    <t>II. Tài sản cố định</t>
  </si>
  <si>
    <t>220</t>
  </si>
  <si>
    <t>1. Tài sản cố định hữu hình</t>
  </si>
  <si>
    <t>221</t>
  </si>
  <si>
    <t>V.08</t>
  </si>
  <si>
    <t xml:space="preserve">    - Nguyên giá</t>
  </si>
  <si>
    <t>222</t>
  </si>
  <si>
    <t xml:space="preserve">    - Giá trị hao mòn luỹ kế (*)</t>
  </si>
  <si>
    <t>223</t>
  </si>
  <si>
    <t>2. Tài sản cố định thuê tài chính</t>
  </si>
  <si>
    <t>224</t>
  </si>
  <si>
    <t>V.09</t>
  </si>
  <si>
    <t>225</t>
  </si>
  <si>
    <t>226</t>
  </si>
  <si>
    <t>3. Tài sản cố định vô hình</t>
  </si>
  <si>
    <t>227</t>
  </si>
  <si>
    <t>V.10</t>
  </si>
  <si>
    <t>228</t>
  </si>
  <si>
    <t>229</t>
  </si>
  <si>
    <t>4. Chi phí xây dựng cơ bản dở dang</t>
  </si>
  <si>
    <t>230</t>
  </si>
  <si>
    <t>V.11</t>
  </si>
  <si>
    <t>III. Bất động sản đầu tư</t>
  </si>
  <si>
    <t>240</t>
  </si>
  <si>
    <t>V.12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</si>
  <si>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</si>
  <si>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</si>
  <si>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</si>
  <si>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</si>
  <si>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</si>
  <si>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</si>
  <si>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</si>
  <si>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</si>
  <si>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</si>
  <si>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</si>
  <si>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V.13</t>
  </si>
  <si>
    <t>259</t>
  </si>
  <si>
    <t>V. Tài sản dài hạn khác</t>
  </si>
  <si>
    <t>260</t>
  </si>
  <si>
    <t>1. Chi phí trả trước dài hạn</t>
  </si>
  <si>
    <t>261</t>
  </si>
  <si>
    <t>V.14</t>
  </si>
  <si>
    <t>2. Tài sản thuế thu nhập hoãn lại</t>
  </si>
  <si>
    <t>262</t>
  </si>
  <si>
    <t>V.20</t>
  </si>
  <si>
    <t>3. Tài sản dài hạn khác</t>
  </si>
  <si>
    <t>268</t>
  </si>
  <si>
    <t>V.14a</t>
  </si>
  <si>
    <t>4. Lợi thế thương mại</t>
  </si>
  <si>
    <t>TỔNG CỘNG TÀI SẢN (270 = 100 + 200)</t>
  </si>
  <si>
    <t>270</t>
  </si>
  <si>
    <t>NGUỒN VỐN</t>
  </si>
  <si>
    <t>A. NỢ PHẢI TRẢ (300= 310+330)</t>
  </si>
  <si>
    <t>300</t>
  </si>
  <si>
    <t>I. Nợ ngắn hạn</t>
  </si>
  <si>
    <t>310</t>
  </si>
  <si>
    <t>1. Vay và nợ ngắn hạn</t>
  </si>
  <si>
    <t>311</t>
  </si>
  <si>
    <t>V.15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</si>
  <si>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</si>
  <si>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</si>
  <si>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</si>
  <si>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</si>
  <si>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</si>
  <si>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</si>
  <si>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V.16</t>
  </si>
  <si>
    <t>5. Phải trả người lao động</t>
  </si>
  <si>
    <t>315</t>
  </si>
  <si>
    <t>6. Chi phí phải trả</t>
  </si>
  <si>
    <t>316</t>
  </si>
  <si>
    <t>V.17</t>
  </si>
  <si>
    <t>7. Phải trả nội bộ</t>
  </si>
  <si>
    <t>317</t>
  </si>
  <si>
    <t>V.17a</t>
  </si>
  <si>
    <t>8. Phải trả theo tiến độ kế hoạch hợp đồng xây dựng</t>
  </si>
  <si>
    <t>318</t>
  </si>
  <si>
    <t>9. Các khoản phải trả, phải nộp ngắn hạn khác</t>
  </si>
  <si>
    <t>319</t>
  </si>
  <si>
    <t>V.18</t>
  </si>
  <si>
    <t>10. Dự phòng phải trả ngắn hạn</t>
  </si>
  <si>
    <t>320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</si>
  <si>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</si>
  <si>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</si>
  <si>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</si>
  <si>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</si>
  <si>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</si>
  <si>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</si>
  <si>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V.19</t>
  </si>
  <si>
    <t>3. Phải trả dài hạn khác</t>
  </si>
  <si>
    <t>333</t>
  </si>
  <si>
    <t>V.19a</t>
  </si>
  <si>
    <t>4. Vay và nợ dài hạn</t>
  </si>
  <si>
    <t>334</t>
  </si>
  <si>
    <t>5. Thuế thu nhập hoãn lại phải trả</t>
  </si>
  <si>
    <t>335</t>
  </si>
  <si>
    <t>V.21</t>
  </si>
  <si>
    <t>6. Dự phòng trợ cấp mất việc làm</t>
  </si>
  <si>
    <t>336</t>
  </si>
  <si>
    <t>7. Dự phòng phải trả dài hạn</t>
  </si>
  <si>
    <t>337</t>
  </si>
  <si>
    <t>B. VỐN CHỦ SỞ HỮU (400=410+430)</t>
  </si>
  <si>
    <t>400</t>
  </si>
  <si>
    <t>I. Vốn chủ sở hữu</t>
  </si>
  <si>
    <t>410</t>
  </si>
  <si>
    <t>1. Vốn đầu tư của chủ sở hữu</t>
  </si>
  <si>
    <t>411</t>
  </si>
  <si>
    <t>V.22</t>
  </si>
  <si>
    <t>2. Thặng dư vốn cổ phần</t>
  </si>
  <si>
    <t>412</t>
  </si>
  <si>
    <t>3. Vốn khác của chủ sở hữu</t>
  </si>
  <si>
    <t>413</t>
  </si>
  <si>
    <t>4. Cổ phiếu quỹ (*)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</si>
  <si>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</si>
  <si>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</si>
  <si>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</si>
  <si>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</si>
  <si>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</si>
  <si>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</si>
  <si>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</si>
  <si>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</si>
  <si>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</si>
  <si>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</si>
  <si>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</si>
  <si>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</si>
  <si>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</si>
  <si>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11.Nguồn vốn đầu tư XDCB</t>
  </si>
  <si>
    <t>421</t>
  </si>
  <si>
    <t>II. Nguồn kinh phí, quỹ khác</t>
  </si>
  <si>
    <t>430</t>
  </si>
  <si>
    <t>432</t>
  </si>
  <si>
    <t>433</t>
  </si>
  <si>
    <t>C. LỢI ÍCH CỦA CỔ ĐÔNG THIỂU SỐ</t>
  </si>
  <si>
    <t>TỔNG CỘNG NGUỒN VỐN (440=300+400+439)</t>
  </si>
  <si>
    <t>440</t>
  </si>
  <si>
    <t>CHỈ TIÊU NGOÀI BẢNG CÂN ĐỐI KẾ TOÁN</t>
  </si>
  <si>
    <t>1. Tài sản thuê ngoài</t>
  </si>
  <si>
    <t>V.24</t>
  </si>
  <si>
    <t>2. Vật tư, hàng hóa nhận giữ hộ, nhận gia công</t>
  </si>
  <si>
    <t>V.24a</t>
  </si>
  <si>
    <t>3. Hàng hóa nhận bán hộ, nhận ký gửi, ký cược</t>
  </si>
  <si>
    <t>4. Nợ khó đòi đã xử lý</t>
  </si>
  <si>
    <t>5. Ngoại tệ các loại</t>
  </si>
  <si>
    <t>6. Dự toán chi sự nghiệp,dự án</t>
  </si>
  <si>
    <t>BÁO CÁO KẾT QUẢ HOẠT ĐỘNG KINH DOANH</t>
  </si>
  <si>
    <t>Chỉ tiêu</t>
  </si>
  <si>
    <t>Năm nay</t>
  </si>
  <si>
    <t>Năm trước</t>
  </si>
  <si>
    <t>1. Doanh thu bán hàng, cung cấp dịch vụ</t>
  </si>
  <si>
    <t>01</t>
  </si>
  <si>
    <t>VI.25</t>
  </si>
  <si>
    <t>2. Các khoản giảm trừ doanh thu</t>
  </si>
  <si>
    <t>02</t>
  </si>
  <si>
    <t>VI.26</t>
  </si>
  <si>
    <t>10</t>
  </si>
  <si>
    <t>VI.27</t>
  </si>
  <si>
    <t>4. Giá vốn hàng bán</t>
  </si>
  <si>
    <t>11</t>
  </si>
  <si>
    <t>VI.28</t>
  </si>
  <si>
    <t>20</t>
  </si>
  <si>
    <t>6. Doanh thu hoạt động tài chính</t>
  </si>
  <si>
    <t>21</t>
  </si>
  <si>
    <t>VI.29</t>
  </si>
  <si>
    <t>7. Chi phí tài chính</t>
  </si>
  <si>
    <t>22</t>
  </si>
  <si>
    <t>VI.30</t>
  </si>
  <si>
    <t xml:space="preserve">    Trong đó: Chi phí lãi vay</t>
  </si>
  <si>
    <t>23</t>
  </si>
  <si>
    <t xml:space="preserve">8. Chi phí bán hàng </t>
  </si>
  <si>
    <t>24</t>
  </si>
  <si>
    <t>9. Chi phí quản lý doanh nghiệp</t>
  </si>
  <si>
    <t>25</t>
  </si>
  <si>
    <t>10. Lợi nhuận thuần từ hoạt động kinh  doanh  (30=20+21-22-24-25)</t>
  </si>
  <si>
    <t>30</t>
  </si>
  <si>
    <t>11. Thu nhập khác</t>
  </si>
  <si>
    <t>31</t>
  </si>
  <si>
    <t>12. Chi phí khác</t>
  </si>
  <si>
    <t>32</t>
  </si>
  <si>
    <t>13. Lợi nhuận khác (40 = 31 - 32)</t>
  </si>
  <si>
    <t>40</t>
  </si>
  <si>
    <t>14. Phần lãi lỗ trong Công ty liên doanh liên kết</t>
  </si>
  <si>
    <t>15. Tổng lợi nhuận kế toán trước thuế (50=30+40+45)</t>
  </si>
  <si>
    <t>50</t>
  </si>
  <si>
    <t>16.Chi phí thuế TNDN hiện hành</t>
  </si>
  <si>
    <t>51</t>
  </si>
  <si>
    <t>VI.31</t>
  </si>
  <si>
    <t>17. Chi phí thuế TNDN hoãn lại</t>
  </si>
  <si>
    <t>52</t>
  </si>
  <si>
    <t>VI.32</t>
  </si>
  <si>
    <t>60</t>
  </si>
  <si>
    <t>19.Lãi cơ bản trên cổ phiếu (*)</t>
  </si>
  <si>
    <t>70</t>
  </si>
  <si>
    <t>Giám đốc</t>
  </si>
  <si>
    <t>(Ký, họ tên, đóng dấu)</t>
  </si>
  <si>
    <t>Lập biểu                                  Kế toán trưởng</t>
  </si>
  <si>
    <t xml:space="preserve">      Lập biểu                                  Kế toán trưởng</t>
  </si>
  <si>
    <t>(Ký, họ tên)                                    (Ký, họ tên)</t>
  </si>
  <si>
    <t>Ghi chú: - Những chỉ tiêu không có số liệu có thể không phải trình bày nhưng không được đánh lại số thứ tự chỉ tiêu và "Mã số"</t>
  </si>
  <si>
    <t xml:space="preserve">             - Số liệu trong các chỉ tiêu có dấu (*) được ghi bằng số âm dưới hình thức ghi trong ngoặc đơn (….)</t>
  </si>
  <si>
    <t>4. Dự phòng giảm giá đầu tư tài chính dài hạn (*)</t>
  </si>
  <si>
    <t>Mẫu số: B01-DN</t>
  </si>
  <si>
    <t>3. Doanh thu thuần về bán hàng và cung cấp dịch vụ (10=01-02)</t>
  </si>
  <si>
    <t>5. Lợi nhuận gộp về bán hàng và cung cấp dịch vụ (20=10-11)</t>
  </si>
  <si>
    <t>18. Lợi nhuận sau thuế thu nhập doanh nghiệp (60= 50-51-52)</t>
  </si>
  <si>
    <t xml:space="preserve">                           (Ký, họ tên)                                    (Ký, họ tên)</t>
  </si>
  <si>
    <t>Mẫu số: B02-DN</t>
  </si>
  <si>
    <t>IV. Những thông tin bổ sung cho các khoản mục trình bày trong Bảng cân đối kế toán</t>
  </si>
  <si>
    <t>Hop nhat</t>
  </si>
  <si>
    <t>Mã thuyết minh</t>
  </si>
  <si>
    <t>Cuối năm</t>
  </si>
  <si>
    <t>Đầu năm</t>
  </si>
  <si>
    <t>01. Tiền</t>
  </si>
  <si>
    <t>- Tiền mặt</t>
  </si>
  <si>
    <t>+ Tiền Việt Nam</t>
  </si>
  <si>
    <t>+ Ngoại tệ</t>
  </si>
  <si>
    <t>+ Vàng bạc, kim khí, đá quý</t>
  </si>
  <si>
    <t>- Tiền gửi Ngân hàng</t>
  </si>
  <si>
    <t>- Tiền đang chuyển</t>
  </si>
  <si>
    <t>02. Các khoản đầu tư tài chính ngắn hạn</t>
  </si>
  <si>
    <t>- Chứng khoán đầu tư ngắn hạn</t>
  </si>
  <si>
    <t>- Đầu tư ngắn hạn khác</t>
  </si>
  <si>
    <t>- Dự phòng giảm giá đầu tư ngắn hạn</t>
  </si>
  <si>
    <t>02a. Phải thu nội bộ ngắn hạn</t>
  </si>
  <si>
    <t>- Phải thu nội bộ Tổng công ty</t>
  </si>
  <si>
    <t>- Phải thu nội bộ Công ty</t>
  </si>
  <si>
    <t>03. Các khoản phải thu ngắn hạn khác</t>
  </si>
  <si>
    <t>- Phải thu về cổ phần hóa</t>
  </si>
  <si>
    <t>- Phải thu về cổ tức và lợi nhuận được chia</t>
  </si>
  <si>
    <t>- Phải thu người lao động</t>
  </si>
  <si>
    <t>- Phải thu khác</t>
  </si>
  <si>
    <t>04. Hàng tồn kho</t>
  </si>
  <si>
    <t>- Hàng mua đang đi trên đường</t>
  </si>
  <si>
    <t>+ Xăng dầu</t>
  </si>
  <si>
    <t>+ Khác</t>
  </si>
  <si>
    <t>- Nguyên liệu, vật liệu</t>
  </si>
  <si>
    <t>- Công cụ, dụng cụ</t>
  </si>
  <si>
    <t>+ Vỏ bình gas</t>
  </si>
  <si>
    <t>+ Công cụ, dụng cụ khác</t>
  </si>
  <si>
    <t>- Chi phí sản xuất, kinh doanh dở dang</t>
  </si>
  <si>
    <t>- Thành phẩm</t>
  </si>
  <si>
    <t>- Hàng hóa</t>
  </si>
  <si>
    <t>+ Hóa dầu</t>
  </si>
  <si>
    <t>+ Gas, bếp và phụ kiện</t>
  </si>
  <si>
    <t>+ Hàng hóa khác</t>
  </si>
  <si>
    <t>- Hàng gửi đi bán</t>
  </si>
  <si>
    <t>- Hàng hóa kho bảo thuế</t>
  </si>
  <si>
    <t>- Hàng hóa bất động sản</t>
  </si>
  <si>
    <t>05. Thuế và các khoản phải thu Nhà Nước</t>
  </si>
  <si>
    <t>V05</t>
  </si>
  <si>
    <t>05.1. Thuế</t>
  </si>
  <si>
    <t>- Thuế giá trị gia tăng hàng nội địa</t>
  </si>
  <si>
    <t>- Thuế giá trị gia tăng hàng nhập khẩu</t>
  </si>
  <si>
    <t>- Thuế tiêu thụ đặc biệt</t>
  </si>
  <si>
    <t>- Thuế xuất khẩu, nhập khẩu</t>
  </si>
  <si>
    <t>- Thuế thu nhập doanh nghiệp</t>
  </si>
  <si>
    <t>- Thuế thu nhập cá nhân</t>
  </si>
  <si>
    <t>- Thuế tài nguyên</t>
  </si>
  <si>
    <t>- Thuế nhà đất và tiền thuê đất</t>
  </si>
  <si>
    <t>- Các loại thuế khác</t>
  </si>
  <si>
    <t>05.2. Các khoản khác</t>
  </si>
  <si>
    <t>- Các khoản phụ thu</t>
  </si>
  <si>
    <t>- Các khoản phí và lệ phí</t>
  </si>
  <si>
    <t>- Các khoản khác</t>
  </si>
  <si>
    <t>05a. Tài sản ngắn hạn khác</t>
  </si>
  <si>
    <t>- Tạm ứng</t>
  </si>
  <si>
    <t>- Tài sản thiếu chờ xử lý</t>
  </si>
  <si>
    <t>- Các khoản cầm cố, ký quỹ, ký cược ngắn hạn</t>
  </si>
  <si>
    <t>- Tài sản ngắn hạn khác</t>
  </si>
  <si>
    <t>06. Phải thu dài hạn nội bộ</t>
  </si>
  <si>
    <t>06.1. Phải thu dài hạn nội bộ Tổng công ty</t>
  </si>
  <si>
    <t>- Cho vay nội bộ Tổng công ty</t>
  </si>
  <si>
    <t>+ Nội bộ Tổng công ty về vốn kinh doanh</t>
  </si>
  <si>
    <t>+ Nội bộ Tổng công ty về vốn đầu tư</t>
  </si>
  <si>
    <t>- Phải thu nội bộ khác</t>
  </si>
  <si>
    <t>06.2. Phải thu dài hạn nội bộ Công ty</t>
  </si>
  <si>
    <t>07. Phải thu dài hạn khác</t>
  </si>
  <si>
    <t>- Các khoản tiền nhận ủy thác</t>
  </si>
  <si>
    <t>- Cho vay không có lãi</t>
  </si>
  <si>
    <t>- Phải thu dài hạn khác</t>
  </si>
  <si>
    <t>13 Đầu tư tài chính dài hạn khác</t>
  </si>
  <si>
    <t>- Đầu tư cổ phiếu</t>
  </si>
  <si>
    <t>- Đầu tư trái phiếu</t>
  </si>
  <si>
    <t>- Đầu tư tín phiếu, kỳ phiếu</t>
  </si>
  <si>
    <t>- Cho vay dài hạn</t>
  </si>
  <si>
    <t>- Đầu tư dài hạn khác</t>
  </si>
  <si>
    <t>14. Chi phí trả trước dài hạn</t>
  </si>
  <si>
    <t>- Chi phí trả trước về thuê hoạt động TSCĐ</t>
  </si>
  <si>
    <t>- Chi phí thành lập doanh nghiệp</t>
  </si>
  <si>
    <t>- Chi phí nghiên cứu có giá trị lớn</t>
  </si>
  <si>
    <t>- Chi phí cho giai đoạn triển khai không đủ tiêu chuẩn là TSCĐVH</t>
  </si>
  <si>
    <t>- Chi phí trả trước dài hạn khác</t>
  </si>
  <si>
    <t>14a. Tài sản dài hạn khác</t>
  </si>
  <si>
    <t>- Ký quỹ, ký cược dài hạn</t>
  </si>
  <si>
    <t>- Tài sản dài hạn khác</t>
  </si>
  <si>
    <t>15. Vay và nợ ngắn hạn</t>
  </si>
  <si>
    <t>15.1. Vay ngắn hạn</t>
  </si>
  <si>
    <t>- Vay Ngân hàng</t>
  </si>
  <si>
    <t>- Vay Tổng công ty</t>
  </si>
  <si>
    <t>- Vay đối tượng khác</t>
  </si>
  <si>
    <t>15.2. Nợ dài hạn đến hạn trả</t>
  </si>
  <si>
    <t>- Ngân hàng</t>
  </si>
  <si>
    <t>- Tổng công ty</t>
  </si>
  <si>
    <t>- Đối tượng khác</t>
  </si>
  <si>
    <t>16. Thuế và các khoản phải nộp Nhà Nước</t>
  </si>
  <si>
    <t>16.1. Thuế</t>
  </si>
  <si>
    <t>16.2. Các khoản khác</t>
  </si>
  <si>
    <t>17. Chi phí phải trả</t>
  </si>
  <si>
    <t>- Trích trước tiền lương trong thời gian nghỉ phép</t>
  </si>
  <si>
    <t>- Chi phí sửa chữa TSCĐ</t>
  </si>
  <si>
    <t>- Chi phí trong thời gian ngừng kinh doanh</t>
  </si>
  <si>
    <t>- Chi phí phải trả khác</t>
  </si>
  <si>
    <t>17a. Phải trả ngắn hạn nội bộ</t>
  </si>
  <si>
    <t>- Phải trả ngắn hạn nội bộ Tổng công ty</t>
  </si>
  <si>
    <t>- Phải trả ngắn hạn nội bộ Công ty</t>
  </si>
  <si>
    <t>18. Các khoản phải trả, phải nộp ngắn hạn</t>
  </si>
  <si>
    <t>- Tài sản thừa chờ giải quyết</t>
  </si>
  <si>
    <t>- Kinh phí công đoàn</t>
  </si>
  <si>
    <t>- Bảo hiểm xã hội</t>
  </si>
  <si>
    <t>- Bảo hiểm y tế</t>
  </si>
  <si>
    <t>- Phải trả về cổ phần hóa</t>
  </si>
  <si>
    <t>- Nhận ký quỹ, ký cược ngắn hạn</t>
  </si>
  <si>
    <t>- Doanh thu chưa thực hiện</t>
  </si>
  <si>
    <t>- Các khoản phải trả, phải nộp khác</t>
  </si>
  <si>
    <t>19. Phải trả dài hạn nội bộ</t>
  </si>
  <si>
    <t>19.1. Phải trả dài hạn nội bộ Tổng công ty</t>
  </si>
  <si>
    <t>- Vay dài hạn nội bộ Tổng công ty</t>
  </si>
  <si>
    <t>- Phải trả dài hạn nội bộ khác</t>
  </si>
  <si>
    <t>19.2. Phải trả dài hạn nội bộ Công ty</t>
  </si>
  <si>
    <t>19a. Phải trả dài hạn khác</t>
  </si>
  <si>
    <t>- Nhận ký quỹ, ký cược dài hạn</t>
  </si>
  <si>
    <t>- Phải trả dài hạn khác</t>
  </si>
  <si>
    <t>20. Vay và nợ dài hạn</t>
  </si>
  <si>
    <t>20.1. Vay dài hạn</t>
  </si>
  <si>
    <t>- Trái phiếu phát hành</t>
  </si>
  <si>
    <t>20.2. Nợ dài hạn</t>
  </si>
  <si>
    <t>- Thuê tài chính</t>
  </si>
  <si>
    <t>- Nợ dài hạn khác</t>
  </si>
  <si>
    <t>21. Tài sản thuế thu nhập hoãn lại và thuế TN hoãn lại phải trả</t>
  </si>
  <si>
    <t>21.1 Tài sản thuế thu nhập hoãn lại</t>
  </si>
  <si>
    <t>- Liên quan đến khoản chênh lệch tạm thời được khấu trừ</t>
  </si>
  <si>
    <t>- Liên quan đến khoản lỗ tính thuế chưa sử dụng</t>
  </si>
  <si>
    <t>- Liên quan đến khoản ưu đãi tính thuế chưa sử dụng</t>
  </si>
  <si>
    <t>- Khoản hoàn nhập đã được ghi nhận từ các năm trước</t>
  </si>
  <si>
    <t>21.2. Thuế thu nhập hoãn lại phải trả</t>
  </si>
  <si>
    <t>- Phát sinh từ các khoản chênh lệch tạm thời chịu thuế</t>
  </si>
  <si>
    <t>- Khoản hoàn nhập phải trả đã được ghi nhận từ các năm trước</t>
  </si>
  <si>
    <t>24a. Vật tư hàng hóa nhận giữ hộ, nhận gia công</t>
  </si>
  <si>
    <t>Trong đó: - Hàng giữ hộ Tổng công ty</t>
  </si>
  <si>
    <t xml:space="preserve">                 - Hàng dự trữ quốc gia</t>
  </si>
  <si>
    <t>22. Vốn chủ sở hữu</t>
  </si>
  <si>
    <t>22c. Các giao dịch về vốn với các chủ sở hữu và chia cổ tức</t>
  </si>
  <si>
    <t>- Cổ tức, lợi nhuận đã chia</t>
  </si>
  <si>
    <t>22d. Cố tức</t>
  </si>
  <si>
    <t>- Cổ tức đã công bố sau ngày kết thúc niên độ kế toán</t>
  </si>
  <si>
    <t>+ Cổ tức đã công bố trên cổ phiếu phổ thông</t>
  </si>
  <si>
    <t>+ Cổ tức đã công bố trên cổ phiếu ưu đãi</t>
  </si>
  <si>
    <t>- Cố tức của cổ phiếu ưu đãi lũy kế chưa được ghi nhận</t>
  </si>
  <si>
    <t>22đ. Cổ phiếu</t>
  </si>
  <si>
    <t>- Số lượng cổ phiếu đăng ký phát hành</t>
  </si>
  <si>
    <t>- Số lượng cổ phiếu đã bán ra công chúng</t>
  </si>
  <si>
    <t>+ Cổ phiếu phổ thông</t>
  </si>
  <si>
    <t>+ Cổ phiếu ưu đãi</t>
  </si>
  <si>
    <t>- Số lượng cổ phiếu được mua lại</t>
  </si>
  <si>
    <t>- Số lượng cổ phiếu đang lưu hành</t>
  </si>
  <si>
    <t>* Mệnh giá cổ phiếu đang lưu hành</t>
  </si>
  <si>
    <t>22e. Các quỹ của doanh nghiệp (Chi tiết tại Phụ biểu 05)</t>
  </si>
  <si>
    <t>22a. Biến động của vốn chủ sở hữu (Chi tiết tại Phụ biểu 05)</t>
  </si>
  <si>
    <t>12. Tăng giảm BĐS đầu tư (Chi tiết tại Phụ biểu 04)</t>
  </si>
  <si>
    <t>10. Tăng giảm TSCĐ vô hình (Chi tiết tại Phụ biểu 03)</t>
  </si>
  <si>
    <t>09. Tăng giảm TSCĐ thuê tài chính (Chi tiết Phụ biểu 02)</t>
  </si>
  <si>
    <t>08. Tăng giảm TSCĐ hữu hình (Chi tiết tại Phụ biểu 01)</t>
  </si>
  <si>
    <t>23. Nguồn kinh phí (Chi tiết tại Phụ biểu 05)</t>
  </si>
  <si>
    <t xml:space="preserve">22g. TNhập và CPhí, lãi hoặc lỗ được ghi nhận trực tiếp vào vốn </t>
  </si>
  <si>
    <t>22b. Chi tiết đầu tư của vốn CSH (Chi tiết tại Phụ biểu 05)</t>
  </si>
  <si>
    <t>CSH theo qui định của các CMKT (Chi tiết tại Phụ biểu 09)</t>
  </si>
  <si>
    <t>V.23</t>
  </si>
  <si>
    <t>24. Tài sản thuê ngoài</t>
  </si>
  <si>
    <t>24.1. Giá trị tài sản thuê ngoài</t>
  </si>
  <si>
    <t>- TSCĐ thuê ngoài</t>
  </si>
  <si>
    <t>- Tài sản khác thuê ngoài</t>
  </si>
  <si>
    <t>- Đến 1 năm</t>
  </si>
  <si>
    <t>- Trên 1 - 5 năm</t>
  </si>
  <si>
    <t>- Trên 5 năm</t>
  </si>
  <si>
    <t>24.2. Tổng số tiền thuê tối thiểu trong tương lai của HĐ thuê</t>
  </si>
  <si>
    <t>TSCĐ không huỷ ngang theo các thời hạn</t>
  </si>
  <si>
    <t>Khoản mục</t>
  </si>
  <si>
    <t>Mã chỉ tiêu</t>
  </si>
  <si>
    <t>Nhà cửa, vật kiến trúc</t>
  </si>
  <si>
    <t>Máy móc thiết bị</t>
  </si>
  <si>
    <t>Phương tiện vận tải truyền dẫn</t>
  </si>
  <si>
    <t>Thiết bị, dụng cụ quản lý</t>
  </si>
  <si>
    <t>TSCĐ hữu hình khác</t>
  </si>
  <si>
    <t>Tổng cộng</t>
  </si>
  <si>
    <t>Nguyên giá TSCĐ hữu hình</t>
  </si>
  <si>
    <t>Số dư đầu năm</t>
  </si>
  <si>
    <t>12</t>
  </si>
  <si>
    <t>Số tăng trong năm</t>
  </si>
  <si>
    <t>13</t>
  </si>
  <si>
    <t>- Mua sắm mới</t>
  </si>
  <si>
    <t>- Đầu tư XDCB hoàn thành</t>
  </si>
  <si>
    <t>- Điều động nội bộ Tổng công ty</t>
  </si>
  <si>
    <t>- Điều động nội bộ Công ty</t>
  </si>
  <si>
    <t>- Tăng khác</t>
  </si>
  <si>
    <t>Số giảm trong năm</t>
  </si>
  <si>
    <t>14</t>
  </si>
  <si>
    <t>- Chuyển sang BĐS đầu tư</t>
  </si>
  <si>
    <t>- Thanh lý, nhượng bán</t>
  </si>
  <si>
    <t>142</t>
  </si>
  <si>
    <t>143</t>
  </si>
  <si>
    <t>144</t>
  </si>
  <si>
    <t>- Giảm khác</t>
  </si>
  <si>
    <t>145</t>
  </si>
  <si>
    <t>Số dư cuối năm</t>
  </si>
  <si>
    <t>15</t>
  </si>
  <si>
    <t>Giá trị hao mòn lũy kế</t>
  </si>
  <si>
    <t>16</t>
  </si>
  <si>
    <t>17</t>
  </si>
  <si>
    <t>18</t>
  </si>
  <si>
    <t>- Khấu hao trong năm</t>
  </si>
  <si>
    <t>181</t>
  </si>
  <si>
    <t>182</t>
  </si>
  <si>
    <t>183</t>
  </si>
  <si>
    <t>184</t>
  </si>
  <si>
    <t>19</t>
  </si>
  <si>
    <t>191</t>
  </si>
  <si>
    <t>192</t>
  </si>
  <si>
    <t>193</t>
  </si>
  <si>
    <t>194</t>
  </si>
  <si>
    <t>195</t>
  </si>
  <si>
    <t>Giá trị còn lại của TSCĐ hữu hình</t>
  </si>
  <si>
    <t>- Tại ngày đầu năm</t>
  </si>
  <si>
    <t>- Tại ngày cuối năm</t>
  </si>
  <si>
    <t>Phụ biểu 01: Tình hình tăng giảm TSCĐ hữu hình</t>
  </si>
  <si>
    <t>Phương tiền vận tài truyền dẫn</t>
  </si>
  <si>
    <t>TSCĐ vô hình</t>
  </si>
  <si>
    <t>Nguyên giá TSCĐ thuê tài chính</t>
  </si>
  <si>
    <t>- Thuê tài chính trong năm</t>
  </si>
  <si>
    <t>- Mua lại TSCĐ thuê tài chính</t>
  </si>
  <si>
    <t>- Trả lại TSCĐ thuê tài chính</t>
  </si>
  <si>
    <t>Giá trị còn lại của TSCĐ thuê tài chính</t>
  </si>
  <si>
    <t>Phụ biểu 02: Tình hình tăng giảm TSCĐ thuê tài chính</t>
  </si>
  <si>
    <t>Quyền sử dụng đất</t>
  </si>
  <si>
    <t>Bản quyền, bằng sáng chế</t>
  </si>
  <si>
    <t>Nhãn hiệu hàng hóa</t>
  </si>
  <si>
    <t>Phần mềm máy vi tính</t>
  </si>
  <si>
    <t>TSCĐ vô hình khác</t>
  </si>
  <si>
    <t>Nguyên giá TSCĐ vô hình</t>
  </si>
  <si>
    <t>- Mua trong năm</t>
  </si>
  <si>
    <t>- Tạo ra từ nội bộ doanh nghiệp</t>
  </si>
  <si>
    <t>- T¨ng do hîp nhÊt kinh doanh</t>
  </si>
  <si>
    <t>136</t>
  </si>
  <si>
    <t>Giá trị còn lại của TSCĐ vô hình</t>
  </si>
  <si>
    <t>Phụ biểu 03: Tình hình tăng giảm TSCĐ vô hình</t>
  </si>
  <si>
    <t>Tăng trong năm</t>
  </si>
  <si>
    <t>Trong đó:</t>
  </si>
  <si>
    <t>Giảm trong năm</t>
  </si>
  <si>
    <t>ĐĐNB TCTy</t>
  </si>
  <si>
    <t>ĐĐNB CTy</t>
  </si>
  <si>
    <t>Nguyên giá BĐS đầu tư</t>
  </si>
  <si>
    <t>1</t>
  </si>
  <si>
    <t>- Quyền sử dụng đất</t>
  </si>
  <si>
    <t>- Nhà</t>
  </si>
  <si>
    <t>- Nhà và quyền sử dụng đất</t>
  </si>
  <si>
    <t>- Bất động sản đầu tư khác</t>
  </si>
  <si>
    <t>2</t>
  </si>
  <si>
    <t>Giá trị còn lại của BĐS đầu tư</t>
  </si>
  <si>
    <t>3</t>
  </si>
  <si>
    <t>33</t>
  </si>
  <si>
    <t>34</t>
  </si>
  <si>
    <t>Phụ biểu 04: Tình hình tăng giảm bất động sản đầu tư</t>
  </si>
  <si>
    <t>Phụ biểu 05: Bảng đối chiếu vốn chủ sở hữu</t>
  </si>
  <si>
    <t>I/ Vốn chủ sở hữu</t>
  </si>
  <si>
    <t>101</t>
  </si>
  <si>
    <t>- Vốn góp của Nhà nước</t>
  </si>
  <si>
    <t>1011</t>
  </si>
  <si>
    <t>- Vốn góp của đối tượng khác</t>
  </si>
  <si>
    <t>1012</t>
  </si>
  <si>
    <t>2. Thăng dư vốn cổ phần</t>
  </si>
  <si>
    <t>102</t>
  </si>
  <si>
    <t>103</t>
  </si>
  <si>
    <t>4. Cổ phiếu ngân quỹ</t>
  </si>
  <si>
    <t>104</t>
  </si>
  <si>
    <t>105</t>
  </si>
  <si>
    <t>106</t>
  </si>
  <si>
    <t>107</t>
  </si>
  <si>
    <t>108</t>
  </si>
  <si>
    <t>109</t>
  </si>
  <si>
    <t>- Lợi nhuận chưa phân phối năm trước</t>
  </si>
  <si>
    <t>1101</t>
  </si>
  <si>
    <t>- Lợi nhuận chưa phân phối năm nay</t>
  </si>
  <si>
    <t>1102</t>
  </si>
  <si>
    <t>11. Nguồn vốn đầu tư XDCB</t>
  </si>
  <si>
    <t>II/ Nguồn kinh phí, quỹ khác</t>
  </si>
  <si>
    <t>1. Quỹ khen thưởng</t>
  </si>
  <si>
    <t>2. Quỹ phúc lợi</t>
  </si>
  <si>
    <t>- Quỹ phúc lợi</t>
  </si>
  <si>
    <t>- Quỹ phúc lợi đã đầu tư</t>
  </si>
  <si>
    <t>3. Quỹ phúc lợi đã hình thành TSCĐ</t>
  </si>
  <si>
    <t>4. Nguồn kinh phí</t>
  </si>
  <si>
    <t>5. Nguồn kinh phí đã hình thành TSCĐ</t>
  </si>
  <si>
    <t>a. Năm trước</t>
  </si>
  <si>
    <t>b. Năm nay</t>
  </si>
  <si>
    <t>* Các khoản nợ thuê tài chính (Chi tiết tại Phụ biểu 07)</t>
  </si>
  <si>
    <t>Tổng khoản thanh toán tiền thuê tài chính</t>
  </si>
  <si>
    <t>Trả tiền lãi thuê</t>
  </si>
  <si>
    <t>Trả nợ gốc</t>
  </si>
  <si>
    <t>Dưới 1 năm</t>
  </si>
  <si>
    <t>Trên 1 đến 5 năm</t>
  </si>
  <si>
    <t>Trên 5 năm</t>
  </si>
  <si>
    <t>11. Chi phí XDCB dở dang (Chi tiết tại Phụ biểu 08)</t>
  </si>
  <si>
    <t>Phụ biểu 08: Thuyết minh chi phí xây dựng cơ bản dở dang</t>
  </si>
  <si>
    <t>Trong đó: Những công trình lớn</t>
  </si>
  <si>
    <t>Phụ biểu 07: Các khoản nợ thuê tài chính</t>
  </si>
  <si>
    <t>Số tiền</t>
  </si>
  <si>
    <t>9.1. Thuyết minh hàng tồn kho</t>
  </si>
  <si>
    <t>- Giá trị ghi sổ của hàng tồn kho dùng để thế chấp, cầm cố đảm bảo các khoản nợ phải trả</t>
  </si>
  <si>
    <t>- Giá trị hoàn nhập dự phòng giảm giá hàng tồn kho trong năm</t>
  </si>
  <si>
    <t>9.2. Thuyết minh TSCĐ hữu hình</t>
  </si>
  <si>
    <t>- Giá trị còn lại cuối năm của TSCĐHH dùng để thế chấp, cầm cố đảm bảo các khoản vay</t>
  </si>
  <si>
    <t>- Nguyên giá TSCĐ cuối năm đã khấu hao hết nhưng vẫn còn sử dụng</t>
  </si>
  <si>
    <t>- Nguyên giá TSCĐ cuối năm chờ thanh lý</t>
  </si>
  <si>
    <t>9.3. Thuyết minh TSCĐ thuê tài chính</t>
  </si>
  <si>
    <t>- Tiền thuê phát sinh thêm được ghi nhận là chi phí trong năm</t>
  </si>
  <si>
    <t>9.4. Thuyết minh chi tiết Vốn chủ sở hữu</t>
  </si>
  <si>
    <t>- Giá trị trái phiếu đã chuyển thành cổ phiếu trong năm</t>
  </si>
  <si>
    <t>- Số lượng cổ phiếu quỹ</t>
  </si>
  <si>
    <t>V. Những thông tin bổ sung cho các khoản mục trình bày trong báo cáo kết quả kinh doanh</t>
  </si>
  <si>
    <t>Mã TM</t>
  </si>
  <si>
    <t>- Doanh thu bán hàng</t>
  </si>
  <si>
    <t>+ Doanh thu bán hàng trực tiếp nội địa</t>
  </si>
  <si>
    <t>+ Doanh thu bán xuất khẩu, tái xuất, chuyển khẩu</t>
  </si>
  <si>
    <t>+ Doanh thu trợ cấp, trợ giá</t>
  </si>
  <si>
    <t>+ Doanh thu bán hàng nội bộ</t>
  </si>
  <si>
    <t xml:space="preserve">          + Nội bộ Tổng công ty</t>
  </si>
  <si>
    <t xml:space="preserve">          + Nội bộ Công ty</t>
  </si>
  <si>
    <t>- Doanh thu cung cấp dịch vụ</t>
  </si>
  <si>
    <t>+ Doanh thu xuất khẩu</t>
  </si>
  <si>
    <t>+ Doanh thu cung cấp nội bộ</t>
  </si>
  <si>
    <t>- Doanh thu hợp đồng xây dựng</t>
  </si>
  <si>
    <t>+ Doanh thu hợp đồng xây dựng được ghi nhận trong kỳ</t>
  </si>
  <si>
    <t>+ Tổng doanh thu lũy kế của HĐXD được ghi nhận đến thời điểm lập BCTC</t>
  </si>
  <si>
    <t>- Chiết khấu thương mại</t>
  </si>
  <si>
    <t>- Giảm giá hàng bán</t>
  </si>
  <si>
    <t>- Hàng bán bị trả lại</t>
  </si>
  <si>
    <t>- Thuế GTGT phải nộp (theo phương pháp trực tiếp)</t>
  </si>
  <si>
    <t>- Thuế xuất khẩu</t>
  </si>
  <si>
    <t>- Doanh thu thuần trao đổi hàng hóa</t>
  </si>
  <si>
    <t>- Doanh thu thuần trao đổi dịch vụ</t>
  </si>
  <si>
    <t>- Giá vốn của hàng hóa đã bán</t>
  </si>
  <si>
    <t>- Giá vốn của thành phẩm đã bán</t>
  </si>
  <si>
    <t>- Giá vốn của dịch vụ đã cung cấp</t>
  </si>
  <si>
    <t>- Giá trị còn lại, chi phí nhượng bán, thanh lý của BĐS đầu tư đã bán</t>
  </si>
  <si>
    <t>- Chi phí kinh doanh BĐS đầu tư</t>
  </si>
  <si>
    <t>- Hao hụt mất mát hàng tồn kho</t>
  </si>
  <si>
    <t>- Các khoản chi phí vượt mức bình thường</t>
  </si>
  <si>
    <t>- Dự phòng giảm giá hàng tồn kho</t>
  </si>
  <si>
    <t>- Lãi tiền gửi, tiền cho vay</t>
  </si>
  <si>
    <t>- Lãi đầu tư trái phiếu, kỳ phiếu, tín phiếu</t>
  </si>
  <si>
    <t>- Cổ tức, lợi nhuận được chia</t>
  </si>
  <si>
    <t>- Lãi bán ngoại tệ</t>
  </si>
  <si>
    <t>- Lãi chênh lệch tỷ giá đã thực hiện</t>
  </si>
  <si>
    <t>- Lãi chênh lệch tỷ giá chưa thực hiện</t>
  </si>
  <si>
    <t>- Lãi bán hàng trả chậm</t>
  </si>
  <si>
    <t>- Doanh thu hoạt động tài chính khác</t>
  </si>
  <si>
    <t>- Lãi tiền vay</t>
  </si>
  <si>
    <t>- Chiết khấu thanh toán, lãi bán hàng trả chậm</t>
  </si>
  <si>
    <t>- Lỗ do thanh lý các khoản đầu tư ngắn hạn, dài hạn</t>
  </si>
  <si>
    <t>- Lỗ bán ngoại tệ</t>
  </si>
  <si>
    <t>- Lỗ chênh lệch tỷ giá đã thực hiện</t>
  </si>
  <si>
    <t>- Lỗ chênh lệch tỷ giá chưa thực hiện</t>
  </si>
  <si>
    <t>- Dự phòng giảm giá các khoản đầu tư ngắn hạn, dài hạn</t>
  </si>
  <si>
    <t>- Chi phí tài chính khác</t>
  </si>
  <si>
    <t>- Chi phí thuế TNDN tính trên thu nhập chịu thuế năm hiện hành</t>
  </si>
  <si>
    <t>- Điều chỉnh chi phí thuế TNDN của các năm trước vào năm nay</t>
  </si>
  <si>
    <t>- Chi phí thuế TNDN hoãn lại từ các khoản thu nhập tạm thời chịu thuế</t>
  </si>
  <si>
    <t>- Chi phí thuế TNDN hoãn lại từ việc hoàn nhập tài sản thuế thu nhập hoãn lại</t>
  </si>
  <si>
    <t>- Thu nhập thuế TNDN hoãn lại từ các khoản chênh lệch tạm thời được khấu trừ</t>
  </si>
  <si>
    <t>- Thu nhập thuế TNDN hoãn lại từ việc hoàn nhập thuế thu nhập hoãn lại phải trả</t>
  </si>
  <si>
    <t>- Thu nhập thuế TNDN hoãn lại từ các khoản lỗ tính thuế và ưu đãi thuế chưa SD</t>
  </si>
  <si>
    <t>Số phát sinh</t>
  </si>
  <si>
    <t>I/ Thuế (10=11+…..+19)</t>
  </si>
  <si>
    <t>1. Thuế GTGT hàng bán nội địa</t>
  </si>
  <si>
    <t>2. Thuế GTGT hàng nhập khẩu</t>
  </si>
  <si>
    <t>3. Thuế tiêu thụ đặc biệt</t>
  </si>
  <si>
    <t>4. Thuế xuất, nhập khẩu</t>
  </si>
  <si>
    <t>5. Thuế thu nhập doanh nghiệp</t>
  </si>
  <si>
    <t>6. Thuế thu nhập cá nhân</t>
  </si>
  <si>
    <t>7. Thuế tài nguyên</t>
  </si>
  <si>
    <t>8. Thuế nhà đất và tiền thuê đất</t>
  </si>
  <si>
    <t>9. Các loại thuế khác</t>
  </si>
  <si>
    <t>II/ Các khoản phải nộp khác (30=31+32+33)</t>
  </si>
  <si>
    <t>1. Các khoản phụ thu</t>
  </si>
  <si>
    <t>2. Các khoản phí, lệ phí</t>
  </si>
  <si>
    <t>3. Các khoản khác</t>
  </si>
  <si>
    <t>Cộng</t>
  </si>
  <si>
    <r>
      <t xml:space="preserve">Ghi chú: - Cột 7 = </t>
    </r>
    <r>
      <rPr>
        <sz val="11"/>
        <rFont val="Arial"/>
        <family val="2"/>
      </rPr>
      <t xml:space="preserve">l </t>
    </r>
    <r>
      <rPr>
        <sz val="11"/>
        <rFont val="Times New Roman"/>
        <family val="1"/>
      </rPr>
      <t xml:space="preserve">4-3+6-5 </t>
    </r>
    <r>
      <rPr>
        <sz val="11"/>
        <rFont val="Arial"/>
        <family val="2"/>
      </rPr>
      <t>l</t>
    </r>
    <r>
      <rPr>
        <sz val="11"/>
        <rFont val="Times New Roman"/>
        <family val="1"/>
      </rPr>
      <t xml:space="preserve"> nếu kết quả &lt;0</t>
    </r>
  </si>
  <si>
    <r>
      <t xml:space="preserve">               - Cột 8 = </t>
    </r>
    <r>
      <rPr>
        <sz val="11"/>
        <rFont val="Arial"/>
        <family val="2"/>
      </rPr>
      <t xml:space="preserve">l </t>
    </r>
    <r>
      <rPr>
        <sz val="11"/>
        <rFont val="Times New Roman"/>
        <family val="1"/>
      </rPr>
      <t xml:space="preserve">4-3+6-5 </t>
    </r>
    <r>
      <rPr>
        <sz val="11"/>
        <rFont val="Arial"/>
        <family val="2"/>
      </rPr>
      <t>l</t>
    </r>
    <r>
      <rPr>
        <sz val="11"/>
        <rFont val="Times New Roman"/>
        <family val="1"/>
      </rPr>
      <t xml:space="preserve"> nếu kết quả &gt;0</t>
    </r>
  </si>
  <si>
    <t>25. Tổng doanh thu bán hàng và cung cấp dịch vụ (Mã số 01)</t>
  </si>
  <si>
    <t>26. Các khoản giảm trừ doanh thu (Mã số 02)</t>
  </si>
  <si>
    <t>27. Doanh thu thuần về bán hàng và cung cấp dịch vụ (Mã số 10)</t>
  </si>
  <si>
    <t>28. Giá vốn hàng bán (Mã số 11)</t>
  </si>
  <si>
    <t>29. Doanh thu hoạt động tài chính (Mã số 21)</t>
  </si>
  <si>
    <t>30. Chi phí tài chính (Mã số 22)</t>
  </si>
  <si>
    <t>31. Chi phí thuế thu nhập doanh nghiệp hiện hành (Mã số 51)</t>
  </si>
  <si>
    <t>32. Chi phí thuế thu nhập doanh nghiệp hoãn lại (Mã số 52)</t>
  </si>
  <si>
    <t>CÔNG TY: CP TM &amp; VT Petrolimex Ha noi</t>
  </si>
  <si>
    <r>
      <t xml:space="preserve">- Mua </t>
    </r>
    <r>
      <rPr>
        <sz val="11"/>
        <rFont val=".VnTime"/>
        <family val="2"/>
      </rPr>
      <t>s¾m tµi s¶n cè ®Þnh</t>
    </r>
  </si>
  <si>
    <t>`</t>
  </si>
  <si>
    <t>c«ng ty CP TM&amp;VT Petrolimex Ha noi</t>
  </si>
  <si>
    <t xml:space="preserve">Sè ph¶i nép </t>
  </si>
  <si>
    <t xml:space="preserve">Sè ®· nép </t>
  </si>
  <si>
    <r>
      <t xml:space="preserve">Phụ biểu 06:  </t>
    </r>
    <r>
      <rPr>
        <b/>
        <sz val="14"/>
        <rFont val=".VnTimeH"/>
        <family val="2"/>
      </rPr>
      <t>T×nh h×nh thùc hiÖn nghÜa vô víi ng©n s¸ch nhµ n­íc gi÷a niªn ®é</t>
    </r>
    <r>
      <rPr>
        <b/>
        <sz val="14"/>
        <rFont val=".VnTime"/>
        <family val="2"/>
      </rPr>
      <t xml:space="preserve"> </t>
    </r>
  </si>
  <si>
    <t>LËp biÓu</t>
  </si>
  <si>
    <t>KÕ to¸n tr­ëng</t>
  </si>
  <si>
    <t xml:space="preserve">                     Gi¸n ®èc </t>
  </si>
  <si>
    <t>Phụ biểu 09: Diễn giải bổ sung các chỉ tiêu thuyết minh Bảng cân đối kế toán</t>
  </si>
  <si>
    <t>Lập ngày 31 tháng 12 năm 2009</t>
  </si>
  <si>
    <t>Năm 2009</t>
  </si>
  <si>
    <r>
      <t xml:space="preserve">- Công trình </t>
    </r>
    <r>
      <rPr>
        <sz val="11"/>
        <rFont val=".VnTime"/>
        <family val="2"/>
      </rPr>
      <t xml:space="preserve">kh¸c </t>
    </r>
  </si>
  <si>
    <r>
      <t xml:space="preserve">- Công trình </t>
    </r>
    <r>
      <rPr>
        <sz val="11"/>
        <rFont val=".VnTime"/>
        <family val="2"/>
      </rPr>
      <t>cöa hµng x¨ng dÇu Vạn Hoà, Lào Cai</t>
    </r>
  </si>
  <si>
    <t>Mẫu số: B03-DN</t>
  </si>
  <si>
    <t>CTyCP thương mại &amp; vận tải petrolimex HN</t>
  </si>
  <si>
    <t>BÁO CÁO LƯU CHUYỂN TIỀN TỆ</t>
  </si>
  <si>
    <t>(Theo phương pháp gián tiếp)</t>
  </si>
  <si>
    <t>I. Lưu chuyển tiền từ hoạt động kinh doanh</t>
  </si>
  <si>
    <t>1.Lợi nhuận trước thuế</t>
  </si>
  <si>
    <t>2.Điều chỉnh cho các khoản</t>
  </si>
  <si>
    <t>- Khấu hao TSCĐ</t>
  </si>
  <si>
    <t>- Các khoản dự phòng</t>
  </si>
  <si>
    <t>03</t>
  </si>
  <si>
    <t>- Lãi, lỗ chênh lệch tỷ giá hối đoái chưa thực hiện</t>
  </si>
  <si>
    <t>04</t>
  </si>
  <si>
    <t>- Lãi, lỗ từ hoạt động đầu tư</t>
  </si>
  <si>
    <t>05</t>
  </si>
  <si>
    <t>- Chi phí lãi vay</t>
  </si>
  <si>
    <t>06</t>
  </si>
  <si>
    <t>3. Lợi nhuận từ hoạt động kinh doanh trước thay đổi vốn lưu động</t>
  </si>
  <si>
    <t>08</t>
  </si>
  <si>
    <t>- Tăng giảm các khoản phải thu</t>
  </si>
  <si>
    <t>09</t>
  </si>
  <si>
    <t>- Tăng giảm hàng tồn kho</t>
  </si>
  <si>
    <t>- Tăng giảm các khoản phải trả (Không kể lãi vay phải trả, thuế</t>
  </si>
  <si>
    <t>TNDN phải nộp)</t>
  </si>
  <si>
    <t>- Tăng giảm chi phí trả trước</t>
  </si>
  <si>
    <t>- Tiền lãi vay đã trả</t>
  </si>
  <si>
    <t>- Thuế thu nhập doanh nghiệp đã nộp</t>
  </si>
  <si>
    <t>- Tiền thu khác từ hoạt động kinh doanh</t>
  </si>
  <si>
    <t>- Tiền chi khác cho hoạt động kinh doanh</t>
  </si>
  <si>
    <t>Lưu chuyển thuần từ hoạt động kinh doanh</t>
  </si>
  <si>
    <t>II. Lưu chuyển tiền từ hoạt động đầu tư</t>
  </si>
  <si>
    <t>1. Tiền chi để mua sắm, xây dựng TSCĐ và các TS dài hạn khác</t>
  </si>
  <si>
    <t>2. Tiền thu từ thanh lý, nhượng bán TSCĐ và các TS dài hạn khác</t>
  </si>
  <si>
    <t>3. Tiền chi cho vay, mua các công cụ nợ của đơn vị khác</t>
  </si>
  <si>
    <t>4. Tiền thu hồi cho vay, bán lại các công cụ nợ của đơn vị khác</t>
  </si>
  <si>
    <t>5. Tiền chi đầu tư, góp vốn vào đơn vị khác</t>
  </si>
  <si>
    <t>6. Tiền thu hồi đầu tư, góp vốn vào đơn vị khác</t>
  </si>
  <si>
    <t>7. Tiền thu lãi cho vay, cổ tức và lợi nhuận được chia</t>
  </si>
  <si>
    <t>Lưu chuyển tiền thuần từ hoạt động đầu tư</t>
  </si>
  <si>
    <t>III. Lưu chuyển tiền thuần từ hoạt động tài chính</t>
  </si>
  <si>
    <t>1.Tiền thu từ phát hành cổ phiếu, nhận vốn góp của chủ sở hữu</t>
  </si>
  <si>
    <t xml:space="preserve">2.Tiền trả vốn góp cho các CSH, mua CP của DN đã phát hành      </t>
  </si>
  <si>
    <t>3.Tiền vay ngắn hạn, dài hạn nhận được</t>
  </si>
  <si>
    <t>4.Tiền chi trả nợ gốc vay</t>
  </si>
  <si>
    <t>5.Tiền chi trả nợ thuê tài chính</t>
  </si>
  <si>
    <t>6.Cổ tức, lợi nhuận đã trả cho chủ sở hữu</t>
  </si>
  <si>
    <t>Lưu chuyển tiền thuần từ hoạt động tài chính</t>
  </si>
  <si>
    <t>Lưu chuyển tiền thuần trong kỳ (50=20+30+40)</t>
  </si>
  <si>
    <t>Tiền và tương đương tiền đầu kỳ</t>
  </si>
  <si>
    <t>Ảnh hưởng của thay đổi tỷ giá hối đoái quy đổi ngoại tệ</t>
  </si>
  <si>
    <t>Tiền và tương đương tiền cuối kỳ (70=50+60+61)</t>
  </si>
  <si>
    <t>VII.34</t>
  </si>
  <si>
    <t xml:space="preserve">                  (Ký, họ tên)                                    (Ký, họ tên)</t>
  </si>
  <si>
    <t>Tại ngày 31 Tháng 3 Năm 2010</t>
  </si>
  <si>
    <t>Lập ngày 31 tháng 3 năm 2010</t>
  </si>
  <si>
    <t>Lập ngày 31 Tháng 03 Năm 2010</t>
  </si>
  <si>
    <t>Quý I n¨m 2010</t>
  </si>
  <si>
    <t>Quý I  n¨m 2010</t>
  </si>
  <si>
    <t>LËp ngµy 31 th¸ng 3 n¨m 2010</t>
  </si>
  <si>
    <r>
      <t xml:space="preserve">- Công trình </t>
    </r>
    <r>
      <rPr>
        <sz val="11"/>
        <rFont val=".VnTime"/>
        <family val="2"/>
      </rPr>
      <t>cöa hµng x¨ng dÇu Liªn Hoµ- §«ng Anh</t>
    </r>
  </si>
  <si>
    <r>
      <t>- Công trình</t>
    </r>
    <r>
      <rPr>
        <sz val="11"/>
        <rFont val=".VnTime"/>
        <family val="2"/>
      </rPr>
      <t xml:space="preserve"> </t>
    </r>
  </si>
  <si>
    <t>40.509.702.675</t>
  </si>
  <si>
    <t>11. Quỹ khen thưởng, phúc lợi</t>
  </si>
  <si>
    <t xml:space="preserve">1. Nguồn kinh phí </t>
  </si>
  <si>
    <t>2. Nguồn kinh phí đã hình thành TSCĐ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</si>
</sst>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71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.5"/>
      <color indexed="12"/>
      <name val="Times New Roman"/>
      <family val="1"/>
    </font>
    <font>
      <b/>
      <sz val="10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color indexed="8"/>
      <name val="Times New Roman"/>
      <family val="1"/>
    </font>
    <font>
      <sz val="11.5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8"/>
      <name val="Times New Roman"/>
      <family val="1"/>
    </font>
    <font>
      <sz val="10.5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1"/>
      <name val=".VnTime"/>
      <family val="2"/>
    </font>
    <font>
      <b/>
      <sz val="11"/>
      <name val=".VnTime"/>
      <family val="2"/>
    </font>
    <font>
      <b/>
      <sz val="10"/>
      <name val=".VnTimeH"/>
      <family val="2"/>
    </font>
    <font>
      <b/>
      <sz val="14"/>
      <name val=".VnTimeH"/>
      <family val="2"/>
    </font>
    <font>
      <b/>
      <sz val="14"/>
      <name val=".VnTime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i/>
      <sz val="12"/>
      <color indexed="8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.VnTime"/>
      <family val="2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3" fontId="5" fillId="0" borderId="12" xfId="0" applyNumberFormat="1" applyFont="1" applyBorder="1" applyAlignment="1">
      <alignment/>
    </xf>
    <xf numFmtId="0" fontId="8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/>
    </xf>
    <xf numFmtId="3" fontId="5" fillId="0" borderId="13" xfId="0" applyNumberFormat="1" applyFont="1" applyBorder="1" applyAlignment="1">
      <alignment/>
    </xf>
    <xf numFmtId="0" fontId="9" fillId="0" borderId="13" xfId="0" applyFont="1" applyBorder="1" applyAlignment="1">
      <alignment vertical="top" wrapText="1"/>
    </xf>
    <xf numFmtId="3" fontId="2" fillId="0" borderId="13" xfId="0" applyNumberFormat="1" applyFont="1" applyBorder="1" applyAlignment="1">
      <alignment/>
    </xf>
    <xf numFmtId="0" fontId="10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/>
    </xf>
    <xf numFmtId="3" fontId="2" fillId="0" borderId="14" xfId="0" applyNumberFormat="1" applyFont="1" applyBorder="1" applyAlignment="1">
      <alignment/>
    </xf>
    <xf numFmtId="2" fontId="1" fillId="0" borderId="0" xfId="57" applyNumberFormat="1" applyFont="1" applyAlignment="1">
      <alignment vertical="top"/>
      <protection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15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center"/>
    </xf>
    <xf numFmtId="3" fontId="13" fillId="0" borderId="12" xfId="0" applyNumberFormat="1" applyFont="1" applyBorder="1" applyAlignment="1">
      <alignment vertical="center"/>
    </xf>
    <xf numFmtId="0" fontId="15" fillId="0" borderId="13" xfId="0" applyFont="1" applyBorder="1" applyAlignment="1">
      <alignment vertical="top" wrapText="1"/>
    </xf>
    <xf numFmtId="0" fontId="13" fillId="0" borderId="13" xfId="0" applyFont="1" applyBorder="1" applyAlignment="1">
      <alignment horizontal="center" vertical="center"/>
    </xf>
    <xf numFmtId="3" fontId="13" fillId="0" borderId="13" xfId="0" applyNumberFormat="1" applyFont="1" applyBorder="1" applyAlignment="1">
      <alignment vertical="center"/>
    </xf>
    <xf numFmtId="0" fontId="15" fillId="0" borderId="16" xfId="0" applyFont="1" applyBorder="1" applyAlignment="1">
      <alignment horizontal="left" vertical="top" wrapText="1"/>
    </xf>
    <xf numFmtId="0" fontId="15" fillId="0" borderId="14" xfId="0" applyFont="1" applyBorder="1" applyAlignment="1">
      <alignment vertical="top" wrapText="1"/>
    </xf>
    <xf numFmtId="0" fontId="13" fillId="0" borderId="14" xfId="0" applyFont="1" applyBorder="1" applyAlignment="1">
      <alignment horizontal="center" vertical="center"/>
    </xf>
    <xf numFmtId="3" fontId="13" fillId="0" borderId="14" xfId="0" applyNumberFormat="1" applyFont="1" applyBorder="1" applyAlignment="1">
      <alignment vertical="center"/>
    </xf>
    <xf numFmtId="0" fontId="12" fillId="0" borderId="0" xfId="0" applyFont="1" applyAlignment="1">
      <alignment horizontal="center"/>
    </xf>
    <xf numFmtId="0" fontId="7" fillId="0" borderId="12" xfId="0" applyFont="1" applyBorder="1" applyAlignment="1">
      <alignment vertical="center" wrapText="1"/>
    </xf>
    <xf numFmtId="0" fontId="12" fillId="0" borderId="0" xfId="0" applyFont="1" applyAlignment="1">
      <alignment/>
    </xf>
    <xf numFmtId="1" fontId="16" fillId="0" borderId="0" xfId="57" applyNumberFormat="1" applyFont="1" applyAlignment="1">
      <alignment/>
      <protection/>
    </xf>
    <xf numFmtId="0" fontId="13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12" fillId="0" borderId="13" xfId="0" applyFont="1" applyBorder="1" applyAlignment="1" quotePrefix="1">
      <alignment/>
    </xf>
    <xf numFmtId="0" fontId="5" fillId="0" borderId="13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7" fillId="0" borderId="12" xfId="0" applyFont="1" applyBorder="1" applyAlignment="1">
      <alignment/>
    </xf>
    <xf numFmtId="3" fontId="18" fillId="0" borderId="13" xfId="0" applyNumberFormat="1" applyFont="1" applyBorder="1" applyAlignment="1">
      <alignment/>
    </xf>
    <xf numFmtId="0" fontId="13" fillId="0" borderId="0" xfId="0" applyFont="1" applyAlignment="1">
      <alignment/>
    </xf>
    <xf numFmtId="0" fontId="17" fillId="0" borderId="13" xfId="0" applyFont="1" applyBorder="1" applyAlignment="1">
      <alignment/>
    </xf>
    <xf numFmtId="0" fontId="12" fillId="0" borderId="14" xfId="0" applyFont="1" applyBorder="1" applyAlignment="1" quotePrefix="1">
      <alignment/>
    </xf>
    <xf numFmtId="0" fontId="17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3" fontId="19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0" fontId="14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3" fontId="18" fillId="0" borderId="12" xfId="0" applyNumberFormat="1" applyFont="1" applyBorder="1" applyAlignment="1">
      <alignment/>
    </xf>
    <xf numFmtId="0" fontId="1" fillId="0" borderId="13" xfId="0" applyFont="1" applyBorder="1" applyAlignment="1" quotePrefix="1">
      <alignment/>
    </xf>
    <xf numFmtId="0" fontId="20" fillId="0" borderId="0" xfId="0" applyFont="1" applyAlignment="1">
      <alignment/>
    </xf>
    <xf numFmtId="0" fontId="2" fillId="0" borderId="0" xfId="57" applyFont="1" applyAlignment="1">
      <alignment horizontal="center" vertical="top"/>
      <protection/>
    </xf>
    <xf numFmtId="0" fontId="2" fillId="0" borderId="0" xfId="57" applyFont="1" applyAlignment="1">
      <alignment vertical="top"/>
      <protection/>
    </xf>
    <xf numFmtId="0" fontId="5" fillId="0" borderId="14" xfId="0" applyFont="1" applyBorder="1" applyAlignment="1">
      <alignment horizontal="center"/>
    </xf>
    <xf numFmtId="3" fontId="5" fillId="0" borderId="14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172" fontId="2" fillId="0" borderId="13" xfId="42" applyNumberFormat="1" applyFont="1" applyBorder="1" applyAlignment="1">
      <alignment horizontal="right" wrapText="1"/>
    </xf>
    <xf numFmtId="172" fontId="5" fillId="0" borderId="13" xfId="42" applyNumberFormat="1" applyFont="1" applyBorder="1" applyAlignment="1">
      <alignment horizontal="right" wrapText="1"/>
    </xf>
    <xf numFmtId="3" fontId="19" fillId="0" borderId="12" xfId="0" applyNumberFormat="1" applyFont="1" applyBorder="1" applyAlignment="1">
      <alignment/>
    </xf>
    <xf numFmtId="0" fontId="22" fillId="0" borderId="13" xfId="0" applyFont="1" applyBorder="1" applyAlignment="1" quotePrefix="1">
      <alignment/>
    </xf>
    <xf numFmtId="3" fontId="2" fillId="0" borderId="0" xfId="0" applyNumberFormat="1" applyFont="1" applyAlignment="1">
      <alignment/>
    </xf>
    <xf numFmtId="2" fontId="24" fillId="0" borderId="0" xfId="57" applyNumberFormat="1" applyFont="1" applyAlignment="1">
      <alignment vertical="top"/>
      <protection/>
    </xf>
    <xf numFmtId="0" fontId="23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3" fontId="1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172" fontId="19" fillId="0" borderId="11" xfId="0" applyNumberFormat="1" applyFont="1" applyBorder="1" applyAlignment="1">
      <alignment horizontal="right" wrapText="1"/>
    </xf>
    <xf numFmtId="172" fontId="31" fillId="0" borderId="13" xfId="42" applyNumberFormat="1" applyFont="1" applyBorder="1" applyAlignment="1">
      <alignment horizontal="right" wrapText="1"/>
    </xf>
    <xf numFmtId="0" fontId="27" fillId="0" borderId="0" xfId="0" applyFont="1" applyAlignment="1">
      <alignment/>
    </xf>
    <xf numFmtId="2" fontId="2" fillId="0" borderId="0" xfId="57" applyNumberFormat="1" applyFont="1" applyAlignment="1">
      <alignment horizontal="left" vertical="top"/>
      <protection/>
    </xf>
    <xf numFmtId="0" fontId="30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49" fontId="12" fillId="0" borderId="11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172" fontId="12" fillId="0" borderId="11" xfId="0" applyNumberFormat="1" applyFont="1" applyBorder="1" applyAlignment="1">
      <alignment wrapText="1"/>
    </xf>
    <xf numFmtId="0" fontId="29" fillId="0" borderId="13" xfId="0" applyFont="1" applyBorder="1" applyAlignment="1">
      <alignment/>
    </xf>
    <xf numFmtId="49" fontId="29" fillId="0" borderId="13" xfId="0" applyNumberFormat="1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172" fontId="19" fillId="0" borderId="13" xfId="42" applyNumberFormat="1" applyFont="1" applyBorder="1" applyAlignment="1">
      <alignment horizontal="right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72" fontId="32" fillId="0" borderId="13" xfId="42" applyNumberFormat="1" applyFont="1" applyBorder="1" applyAlignment="1">
      <alignment horizontal="right" wrapText="1"/>
    </xf>
    <xf numFmtId="0" fontId="19" fillId="0" borderId="13" xfId="0" applyFont="1" applyBorder="1" applyAlignment="1">
      <alignment horizontal="right"/>
    </xf>
    <xf numFmtId="172" fontId="18" fillId="0" borderId="13" xfId="42" applyNumberFormat="1" applyFont="1" applyBorder="1" applyAlignment="1">
      <alignment horizontal="right" wrapText="1"/>
    </xf>
    <xf numFmtId="0" fontId="29" fillId="0" borderId="14" xfId="0" applyFont="1" applyBorder="1" applyAlignment="1">
      <alignment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172" fontId="18" fillId="0" borderId="14" xfId="42" applyNumberFormat="1" applyFont="1" applyBorder="1" applyAlignment="1">
      <alignment horizontal="right" wrapText="1"/>
    </xf>
    <xf numFmtId="172" fontId="19" fillId="0" borderId="0" xfId="0" applyNumberFormat="1" applyFont="1" applyAlignment="1">
      <alignment/>
    </xf>
    <xf numFmtId="172" fontId="1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/>
    </xf>
    <xf numFmtId="2" fontId="3" fillId="0" borderId="0" xfId="57" applyNumberFormat="1" applyFont="1" applyAlignment="1">
      <alignment horizontal="center" vertical="top"/>
      <protection/>
    </xf>
    <xf numFmtId="2" fontId="29" fillId="0" borderId="0" xfId="57" applyNumberFormat="1" applyFont="1" applyAlignment="1">
      <alignment horizontal="center" vertical="top"/>
      <protection/>
    </xf>
    <xf numFmtId="2" fontId="35" fillId="0" borderId="0" xfId="57" applyNumberFormat="1" applyFont="1" applyAlignment="1">
      <alignment horizontal="center" vertical="top"/>
      <protection/>
    </xf>
    <xf numFmtId="2" fontId="36" fillId="0" borderId="0" xfId="57" applyNumberFormat="1" applyFont="1" applyAlignment="1">
      <alignment horizontal="center" vertical="top"/>
      <protection/>
    </xf>
    <xf numFmtId="0" fontId="12" fillId="0" borderId="17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 BCTC (moi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zoomScalePageLayoutView="0" workbookViewId="0" topLeftCell="A52">
      <selection activeCell="B68" sqref="B68"/>
    </sheetView>
  </sheetViews>
  <sheetFormatPr defaultColWidth="9.140625" defaultRowHeight="12.75"/>
  <cols>
    <col min="1" max="1" width="47.28125" style="1" customWidth="1"/>
    <col min="2" max="2" width="6.8515625" style="1" bestFit="1" customWidth="1"/>
    <col min="3" max="3" width="7.8515625" style="1" customWidth="1"/>
    <col min="4" max="4" width="17.8515625" style="1" customWidth="1"/>
    <col min="5" max="5" width="17.140625" style="1" customWidth="1"/>
    <col min="6" max="6" width="9.140625" style="1" customWidth="1"/>
    <col min="7" max="7" width="20.28125" style="1" customWidth="1"/>
    <col min="8" max="16384" width="9.140625" style="1" customWidth="1"/>
  </cols>
  <sheetData>
    <row r="1" spans="1:5" ht="15">
      <c r="A1" s="37" t="s">
        <v>0</v>
      </c>
      <c r="E1" s="34" t="s">
        <v>276</v>
      </c>
    </row>
    <row r="2" ht="12.75">
      <c r="A2" s="81" t="s">
        <v>684</v>
      </c>
    </row>
    <row r="3" spans="1:5" ht="24" customHeight="1">
      <c r="A3" s="117" t="s">
        <v>1</v>
      </c>
      <c r="B3" s="117"/>
      <c r="C3" s="117"/>
      <c r="D3" s="117"/>
      <c r="E3" s="117"/>
    </row>
    <row r="4" spans="1:5" ht="18" customHeight="1">
      <c r="A4" s="118" t="s">
        <v>748</v>
      </c>
      <c r="B4" s="118"/>
      <c r="C4" s="118"/>
      <c r="D4" s="118"/>
      <c r="E4" s="118"/>
    </row>
    <row r="5" ht="18" customHeight="1">
      <c r="E5" s="34" t="s">
        <v>2</v>
      </c>
    </row>
    <row r="6" spans="1:5" s="3" customFormat="1" ht="25.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</row>
    <row r="7" spans="1:5" s="3" customFormat="1" ht="12.75">
      <c r="A7" s="2">
        <v>1</v>
      </c>
      <c r="B7" s="2">
        <v>2</v>
      </c>
      <c r="C7" s="2">
        <v>3</v>
      </c>
      <c r="D7" s="2">
        <v>4</v>
      </c>
      <c r="E7" s="2">
        <v>5</v>
      </c>
    </row>
    <row r="8" spans="1:5" s="3" customFormat="1" ht="14.25">
      <c r="A8" s="4" t="s">
        <v>8</v>
      </c>
      <c r="B8" s="5"/>
      <c r="C8" s="5"/>
      <c r="D8" s="5"/>
      <c r="E8" s="5"/>
    </row>
    <row r="9" spans="1:5" ht="16.5" customHeight="1">
      <c r="A9" s="35" t="s">
        <v>9</v>
      </c>
      <c r="B9" s="6" t="s">
        <v>10</v>
      </c>
      <c r="C9" s="6" t="s">
        <v>11</v>
      </c>
      <c r="D9" s="7">
        <f>D10+D13+D16+D23+D26</f>
        <v>36821036765</v>
      </c>
      <c r="E9" s="7">
        <f>E10+E13+E16+E23+E26</f>
        <v>35971513573</v>
      </c>
    </row>
    <row r="10" spans="1:5" ht="16.5" customHeight="1">
      <c r="A10" s="8" t="s">
        <v>12</v>
      </c>
      <c r="B10" s="9" t="s">
        <v>13</v>
      </c>
      <c r="C10" s="9" t="s">
        <v>11</v>
      </c>
      <c r="D10" s="10">
        <f>SUM(D11:D12)</f>
        <v>6726803631</v>
      </c>
      <c r="E10" s="10">
        <f>SUM(E11:E12)</f>
        <v>2957883466</v>
      </c>
    </row>
    <row r="11" spans="1:7" ht="16.5" customHeight="1">
      <c r="A11" s="11" t="s">
        <v>14</v>
      </c>
      <c r="B11" s="9" t="s">
        <v>15</v>
      </c>
      <c r="C11" s="9" t="s">
        <v>16</v>
      </c>
      <c r="D11" s="12">
        <f>5385150996+274943266+1066709369</f>
        <v>6726803631</v>
      </c>
      <c r="E11" s="12">
        <f>2839244717+39404521+79234228</f>
        <v>2957883466</v>
      </c>
      <c r="G11" s="80"/>
    </row>
    <row r="12" spans="1:5" ht="16.5" customHeight="1">
      <c r="A12" s="11" t="s">
        <v>17</v>
      </c>
      <c r="B12" s="9" t="s">
        <v>18</v>
      </c>
      <c r="C12" s="9" t="s">
        <v>11</v>
      </c>
      <c r="D12" s="12"/>
      <c r="E12" s="12"/>
    </row>
    <row r="13" spans="1:5" ht="16.5" customHeight="1">
      <c r="A13" s="8" t="s">
        <v>19</v>
      </c>
      <c r="B13" s="9" t="s">
        <v>20</v>
      </c>
      <c r="C13" s="9" t="s">
        <v>21</v>
      </c>
      <c r="D13" s="10">
        <f>SUM(D14:D15)</f>
        <v>60601882</v>
      </c>
      <c r="E13" s="10">
        <f>SUM(E14:E15)</f>
        <v>60578649</v>
      </c>
    </row>
    <row r="14" spans="1:5" ht="16.5" customHeight="1">
      <c r="A14" s="11" t="s">
        <v>22</v>
      </c>
      <c r="B14" s="9" t="s">
        <v>23</v>
      </c>
      <c r="C14" s="9" t="s">
        <v>11</v>
      </c>
      <c r="D14" s="12">
        <v>240247882</v>
      </c>
      <c r="E14" s="12">
        <v>240224649</v>
      </c>
    </row>
    <row r="15" spans="1:5" ht="16.5" customHeight="1">
      <c r="A15" s="11" t="s">
        <v>24</v>
      </c>
      <c r="B15" s="9" t="s">
        <v>25</v>
      </c>
      <c r="C15" s="9" t="s">
        <v>11</v>
      </c>
      <c r="D15" s="12">
        <v>-179646000</v>
      </c>
      <c r="E15" s="12">
        <v>-179646000</v>
      </c>
    </row>
    <row r="16" spans="1:5" ht="16.5" customHeight="1">
      <c r="A16" s="8" t="s">
        <v>26</v>
      </c>
      <c r="B16" s="9" t="s">
        <v>27</v>
      </c>
      <c r="C16" s="9" t="s">
        <v>11</v>
      </c>
      <c r="D16" s="10">
        <f>SUM(D17:D22)</f>
        <v>23357950144</v>
      </c>
      <c r="E16" s="10">
        <f>SUM(E17:E22)</f>
        <v>24757503076</v>
      </c>
    </row>
    <row r="17" spans="1:5" ht="16.5" customHeight="1">
      <c r="A17" s="11" t="s">
        <v>28</v>
      </c>
      <c r="B17" s="9" t="s">
        <v>29</v>
      </c>
      <c r="C17" s="9" t="s">
        <v>11</v>
      </c>
      <c r="D17" s="12">
        <f>19500858864+87515634+1842841673</f>
        <v>21431216171</v>
      </c>
      <c r="E17" s="12">
        <f>18064807550+4190193768+260803216</f>
        <v>22515804534</v>
      </c>
    </row>
    <row r="18" spans="1:5" ht="16.5" customHeight="1">
      <c r="A18" s="11" t="s">
        <v>30</v>
      </c>
      <c r="B18" s="9" t="s">
        <v>31</v>
      </c>
      <c r="C18" s="9" t="s">
        <v>11</v>
      </c>
      <c r="D18" s="12">
        <f>340028632</f>
        <v>340028632</v>
      </c>
      <c r="E18" s="12">
        <v>194050000</v>
      </c>
    </row>
    <row r="19" spans="1:5" ht="16.5" customHeight="1">
      <c r="A19" s="11" t="s">
        <v>32</v>
      </c>
      <c r="B19" s="9" t="s">
        <v>33</v>
      </c>
      <c r="C19" s="9" t="s">
        <v>34</v>
      </c>
      <c r="D19" s="12"/>
      <c r="E19" s="12"/>
    </row>
    <row r="20" spans="1:5" ht="16.5" customHeight="1">
      <c r="A20" s="11" t="s">
        <v>35</v>
      </c>
      <c r="B20" s="9" t="s">
        <v>36</v>
      </c>
      <c r="C20" s="9" t="s">
        <v>11</v>
      </c>
      <c r="D20" s="12"/>
      <c r="E20" s="12"/>
    </row>
    <row r="21" spans="1:5" ht="16.5" customHeight="1">
      <c r="A21" s="11" t="s">
        <v>37</v>
      </c>
      <c r="B21" s="9" t="s">
        <v>38</v>
      </c>
      <c r="C21" s="9" t="s">
        <v>39</v>
      </c>
      <c r="D21" s="12">
        <f>1910290403+1610844+45270750</f>
        <v>1957171997</v>
      </c>
      <c r="E21" s="12">
        <f>2364204652+52478605+1431941</f>
        <v>2418115198</v>
      </c>
    </row>
    <row r="22" spans="1:5" ht="16.5" customHeight="1">
      <c r="A22" s="11" t="s">
        <v>40</v>
      </c>
      <c r="B22" s="9" t="s">
        <v>41</v>
      </c>
      <c r="C22" s="9" t="s">
        <v>11</v>
      </c>
      <c r="D22" s="12">
        <v>-370466656</v>
      </c>
      <c r="E22" s="12">
        <v>-370466656</v>
      </c>
    </row>
    <row r="23" spans="1:5" ht="16.5" customHeight="1">
      <c r="A23" s="8" t="s">
        <v>42</v>
      </c>
      <c r="B23" s="9" t="s">
        <v>43</v>
      </c>
      <c r="C23" s="9" t="s">
        <v>11</v>
      </c>
      <c r="D23" s="10">
        <f>SUM(D24:D25)</f>
        <v>5772165709</v>
      </c>
      <c r="E23" s="10">
        <f>SUM(E24:E25)</f>
        <v>7161847669</v>
      </c>
    </row>
    <row r="24" spans="1:5" ht="16.5" customHeight="1">
      <c r="A24" s="11" t="s">
        <v>44</v>
      </c>
      <c r="B24" s="9" t="s">
        <v>45</v>
      </c>
      <c r="C24" s="9" t="s">
        <v>46</v>
      </c>
      <c r="D24" s="12">
        <f>3732578935+875566087+1173831687</f>
        <v>5781976709</v>
      </c>
      <c r="E24" s="12">
        <f>3411383051+2476045783+1284229835</f>
        <v>7171658669</v>
      </c>
    </row>
    <row r="25" spans="1:5" ht="16.5" customHeight="1">
      <c r="A25" s="11" t="s">
        <v>47</v>
      </c>
      <c r="B25" s="9" t="s">
        <v>48</v>
      </c>
      <c r="C25" s="9" t="s">
        <v>11</v>
      </c>
      <c r="D25" s="12">
        <v>-9811000</v>
      </c>
      <c r="E25" s="12">
        <v>-9811000</v>
      </c>
    </row>
    <row r="26" spans="1:5" ht="16.5" customHeight="1">
      <c r="A26" s="8" t="s">
        <v>49</v>
      </c>
      <c r="B26" s="9" t="s">
        <v>50</v>
      </c>
      <c r="C26" s="9" t="s">
        <v>11</v>
      </c>
      <c r="D26" s="10">
        <f>SUM(D27:D30)</f>
        <v>903515399</v>
      </c>
      <c r="E26" s="10">
        <f>SUM(E27:E30)</f>
        <v>1033700713</v>
      </c>
    </row>
    <row r="27" spans="1:5" ht="16.5" customHeight="1">
      <c r="A27" s="11" t="s">
        <v>51</v>
      </c>
      <c r="B27" s="9" t="s">
        <v>52</v>
      </c>
      <c r="C27" s="9" t="s">
        <v>11</v>
      </c>
      <c r="D27" s="12">
        <v>12299393</v>
      </c>
      <c r="E27" s="12">
        <v>12299393</v>
      </c>
    </row>
    <row r="28" spans="1:5" ht="16.5" customHeight="1">
      <c r="A28" s="13" t="s">
        <v>53</v>
      </c>
      <c r="B28" s="9" t="s">
        <v>54</v>
      </c>
      <c r="C28" s="9" t="s">
        <v>11</v>
      </c>
      <c r="D28" s="12">
        <f>22648757</f>
        <v>22648757</v>
      </c>
      <c r="E28" s="12">
        <f>354524964+56708497+60752610</f>
        <v>471986071</v>
      </c>
    </row>
    <row r="29" spans="1:5" ht="16.5" customHeight="1">
      <c r="A29" s="11" t="s">
        <v>55</v>
      </c>
      <c r="B29" s="9" t="s">
        <v>56</v>
      </c>
      <c r="C29" s="9" t="s">
        <v>57</v>
      </c>
      <c r="D29" s="12"/>
      <c r="E29" s="12"/>
    </row>
    <row r="30" spans="1:5" ht="16.5" customHeight="1">
      <c r="A30" s="11" t="s">
        <v>58</v>
      </c>
      <c r="B30" s="9" t="s">
        <v>59</v>
      </c>
      <c r="C30" s="9" t="s">
        <v>60</v>
      </c>
      <c r="D30" s="12">
        <f>862367249+6200000</f>
        <v>868567249</v>
      </c>
      <c r="E30" s="12">
        <v>549415249</v>
      </c>
    </row>
    <row r="31" spans="1:5" ht="16.5" customHeight="1">
      <c r="A31" s="35" t="s">
        <v>61</v>
      </c>
      <c r="B31" s="9" t="s">
        <v>62</v>
      </c>
      <c r="C31" s="9" t="s">
        <v>11</v>
      </c>
      <c r="D31" s="10">
        <f>D32+D38+D49+D52+D57</f>
        <v>60452014163</v>
      </c>
      <c r="E31" s="10">
        <f>E32+E38+E49+E52+E57</f>
        <v>62157675842</v>
      </c>
    </row>
    <row r="32" spans="1:5" ht="16.5" customHeight="1">
      <c r="A32" s="8" t="s">
        <v>63</v>
      </c>
      <c r="B32" s="9" t="s">
        <v>64</v>
      </c>
      <c r="C32" s="9" t="s">
        <v>11</v>
      </c>
      <c r="D32" s="10">
        <f>SUM(D33:D37)</f>
        <v>0</v>
      </c>
      <c r="E32" s="10">
        <f>SUM(E33:E37)</f>
        <v>0</v>
      </c>
    </row>
    <row r="33" spans="1:5" ht="16.5" customHeight="1">
      <c r="A33" s="11" t="s">
        <v>65</v>
      </c>
      <c r="B33" s="9" t="s">
        <v>66</v>
      </c>
      <c r="C33" s="9" t="s">
        <v>11</v>
      </c>
      <c r="D33" s="12"/>
      <c r="E33" s="12"/>
    </row>
    <row r="34" spans="1:5" ht="16.5" customHeight="1">
      <c r="A34" s="13" t="s">
        <v>67</v>
      </c>
      <c r="B34" s="9" t="s">
        <v>68</v>
      </c>
      <c r="C34" s="9" t="s">
        <v>11</v>
      </c>
      <c r="D34" s="12"/>
      <c r="E34" s="12"/>
    </row>
    <row r="35" spans="1:5" ht="16.5" customHeight="1">
      <c r="A35" s="11" t="s">
        <v>69</v>
      </c>
      <c r="B35" s="9" t="s">
        <v>70</v>
      </c>
      <c r="C35" s="9" t="s">
        <v>71</v>
      </c>
      <c r="D35" s="12"/>
      <c r="E35" s="12"/>
    </row>
    <row r="36" spans="1:5" ht="16.5" customHeight="1">
      <c r="A36" s="11" t="s">
        <v>72</v>
      </c>
      <c r="B36" s="9" t="s">
        <v>73</v>
      </c>
      <c r="C36" s="9" t="s">
        <v>74</v>
      </c>
      <c r="D36" s="12"/>
      <c r="E36" s="12"/>
    </row>
    <row r="37" spans="1:5" ht="16.5" customHeight="1">
      <c r="A37" s="11" t="s">
        <v>75</v>
      </c>
      <c r="B37" s="9" t="s">
        <v>76</v>
      </c>
      <c r="C37" s="9" t="s">
        <v>11</v>
      </c>
      <c r="D37" s="12"/>
      <c r="E37" s="12"/>
    </row>
    <row r="38" spans="1:5" ht="16.5" customHeight="1">
      <c r="A38" s="8" t="s">
        <v>77</v>
      </c>
      <c r="B38" s="9" t="s">
        <v>78</v>
      </c>
      <c r="C38" s="9" t="s">
        <v>11</v>
      </c>
      <c r="D38" s="10">
        <f>D39+D42+D45+D48</f>
        <v>52821012923</v>
      </c>
      <c r="E38" s="10">
        <f>E39+E42+E45+E48</f>
        <v>54722836350</v>
      </c>
    </row>
    <row r="39" spans="1:5" ht="16.5" customHeight="1">
      <c r="A39" s="11" t="s">
        <v>79</v>
      </c>
      <c r="B39" s="9" t="s">
        <v>80</v>
      </c>
      <c r="C39" s="9" t="s">
        <v>81</v>
      </c>
      <c r="D39" s="12">
        <f>D40+D41</f>
        <v>51982138833</v>
      </c>
      <c r="E39" s="12">
        <f>E40+E41</f>
        <v>47532544756</v>
      </c>
    </row>
    <row r="40" spans="1:5" ht="16.5" customHeight="1">
      <c r="A40" s="11" t="s">
        <v>82</v>
      </c>
      <c r="B40" s="9" t="s">
        <v>83</v>
      </c>
      <c r="C40" s="9" t="s">
        <v>11</v>
      </c>
      <c r="D40" s="12">
        <f>103464718758+3685019865+6714073931</f>
        <v>113863812554</v>
      </c>
      <c r="E40" s="12">
        <f>95987578847+6714073931+3685019865</f>
        <v>106386672643</v>
      </c>
    </row>
    <row r="41" spans="1:5" ht="16.5" customHeight="1">
      <c r="A41" s="11" t="s">
        <v>84</v>
      </c>
      <c r="B41" s="9" t="s">
        <v>85</v>
      </c>
      <c r="C41" s="9" t="s">
        <v>11</v>
      </c>
      <c r="D41" s="12">
        <f>-60034023281-541759367-1305891073</f>
        <v>-61881673721</v>
      </c>
      <c r="E41" s="12">
        <f>-57181645827-1188664588-483817472</f>
        <v>-58854127887</v>
      </c>
    </row>
    <row r="42" spans="1:5" ht="16.5" customHeight="1">
      <c r="A42" s="11" t="s">
        <v>86</v>
      </c>
      <c r="B42" s="9" t="s">
        <v>87</v>
      </c>
      <c r="C42" s="9" t="s">
        <v>88</v>
      </c>
      <c r="D42" s="12">
        <f>SUM(D43:D44)</f>
        <v>0</v>
      </c>
      <c r="E42" s="12">
        <f>SUM(E43:E44)</f>
        <v>0</v>
      </c>
    </row>
    <row r="43" spans="1:5" ht="16.5" customHeight="1">
      <c r="A43" s="11" t="s">
        <v>82</v>
      </c>
      <c r="B43" s="9" t="s">
        <v>89</v>
      </c>
      <c r="C43" s="9" t="s">
        <v>11</v>
      </c>
      <c r="D43" s="12"/>
      <c r="E43" s="12"/>
    </row>
    <row r="44" spans="1:5" ht="16.5" customHeight="1">
      <c r="A44" s="11" t="s">
        <v>84</v>
      </c>
      <c r="B44" s="9" t="s">
        <v>90</v>
      </c>
      <c r="C44" s="9" t="s">
        <v>11</v>
      </c>
      <c r="D44" s="12"/>
      <c r="E44" s="12"/>
    </row>
    <row r="45" spans="1:5" ht="16.5" customHeight="1">
      <c r="A45" s="11" t="s">
        <v>91</v>
      </c>
      <c r="B45" s="9" t="s">
        <v>92</v>
      </c>
      <c r="C45" s="9" t="s">
        <v>93</v>
      </c>
      <c r="D45" s="12">
        <f>D46+D47</f>
        <v>155295000</v>
      </c>
      <c r="E45" s="12">
        <f>E46+E47</f>
        <v>157513500</v>
      </c>
    </row>
    <row r="46" spans="1:5" ht="16.5" customHeight="1">
      <c r="A46" s="11" t="s">
        <v>82</v>
      </c>
      <c r="B46" s="9" t="s">
        <v>94</v>
      </c>
      <c r="C46" s="9" t="s">
        <v>11</v>
      </c>
      <c r="D46" s="12">
        <v>177480000</v>
      </c>
      <c r="E46" s="12">
        <v>177480000</v>
      </c>
    </row>
    <row r="47" spans="1:5" ht="16.5" customHeight="1">
      <c r="A47" s="11" t="s">
        <v>84</v>
      </c>
      <c r="B47" s="9" t="s">
        <v>95</v>
      </c>
      <c r="C47" s="9" t="s">
        <v>11</v>
      </c>
      <c r="D47" s="12">
        <v>-22185000</v>
      </c>
      <c r="E47" s="12">
        <v>-19966500</v>
      </c>
    </row>
    <row r="48" spans="1:5" ht="16.5" customHeight="1">
      <c r="A48" s="11" t="s">
        <v>96</v>
      </c>
      <c r="B48" s="9" t="s">
        <v>97</v>
      </c>
      <c r="C48" s="9" t="s">
        <v>98</v>
      </c>
      <c r="D48" s="12">
        <v>683579090</v>
      </c>
      <c r="E48" s="12">
        <v>7032778094</v>
      </c>
    </row>
    <row r="49" spans="1:5" ht="16.5" customHeight="1">
      <c r="A49" s="8" t="s">
        <v>99</v>
      </c>
      <c r="B49" s="9" t="s">
        <v>100</v>
      </c>
      <c r="C49" s="9" t="s">
        <v>101</v>
      </c>
      <c r="D49" s="10">
        <f>SUM(D50:D51)</f>
        <v>0</v>
      </c>
      <c r="E49" s="10">
        <f>SUM(E50:E51)</f>
        <v>0</v>
      </c>
    </row>
    <row r="50" spans="1:5" ht="16.5" customHeight="1">
      <c r="A50" s="11" t="s">
        <v>82</v>
      </c>
      <c r="B50" s="9" t="s">
        <v>102</v>
      </c>
      <c r="C50" s="9" t="s">
        <v>11</v>
      </c>
      <c r="D50" s="12"/>
      <c r="E50" s="12"/>
    </row>
    <row r="51" spans="1:5" ht="16.5" customHeight="1">
      <c r="A51" s="11" t="s">
        <v>84</v>
      </c>
      <c r="B51" s="9" t="s">
        <v>103</v>
      </c>
      <c r="C51" s="9" t="s">
        <v>11</v>
      </c>
      <c r="D51" s="12"/>
      <c r="E51" s="12"/>
    </row>
    <row r="52" spans="1:5" ht="16.5" customHeight="1">
      <c r="A52" s="8" t="s">
        <v>104</v>
      </c>
      <c r="B52" s="9" t="s">
        <v>105</v>
      </c>
      <c r="C52" s="9" t="s">
        <v>11</v>
      </c>
      <c r="D52" s="10">
        <f>SUM(D53:D56)</f>
        <v>7534320526</v>
      </c>
      <c r="E52" s="10">
        <f>SUM(E53:E56)</f>
        <v>7344228778</v>
      </c>
    </row>
    <row r="53" spans="1:5" ht="16.5" customHeight="1">
      <c r="A53" s="11" t="s">
        <v>106</v>
      </c>
      <c r="B53" s="9" t="s">
        <v>107</v>
      </c>
      <c r="C53" s="9" t="s">
        <v>11</v>
      </c>
      <c r="D53" s="12"/>
      <c r="E53" s="12"/>
    </row>
    <row r="54" spans="1:5" ht="16.5" customHeight="1">
      <c r="A54" s="11" t="s">
        <v>108</v>
      </c>
      <c r="B54" s="9" t="s">
        <v>109</v>
      </c>
      <c r="C54" s="9" t="s">
        <v>11</v>
      </c>
      <c r="D54" s="12">
        <v>1800000000</v>
      </c>
      <c r="E54" s="12">
        <v>1609908252</v>
      </c>
    </row>
    <row r="55" spans="1:5" ht="16.5" customHeight="1">
      <c r="A55" s="11" t="s">
        <v>110</v>
      </c>
      <c r="B55" s="9" t="s">
        <v>111</v>
      </c>
      <c r="C55" s="9" t="s">
        <v>112</v>
      </c>
      <c r="D55" s="12">
        <v>5734320526</v>
      </c>
      <c r="E55" s="12">
        <v>5734320526</v>
      </c>
    </row>
    <row r="56" spans="1:5" ht="16.5" customHeight="1">
      <c r="A56" s="11" t="s">
        <v>275</v>
      </c>
      <c r="B56" s="9" t="s">
        <v>113</v>
      </c>
      <c r="C56" s="9" t="s">
        <v>11</v>
      </c>
      <c r="D56" s="12"/>
      <c r="E56" s="12"/>
    </row>
    <row r="57" spans="1:5" ht="16.5" customHeight="1">
      <c r="A57" s="8" t="s">
        <v>114</v>
      </c>
      <c r="B57" s="9" t="s">
        <v>115</v>
      </c>
      <c r="C57" s="9" t="s">
        <v>11</v>
      </c>
      <c r="D57" s="10">
        <f>SUM(D58:D61)</f>
        <v>96680714</v>
      </c>
      <c r="E57" s="10">
        <f>SUM(E58:E61)</f>
        <v>90610714</v>
      </c>
    </row>
    <row r="58" spans="1:5" ht="16.5" customHeight="1">
      <c r="A58" s="11" t="s">
        <v>116</v>
      </c>
      <c r="B58" s="9" t="s">
        <v>117</v>
      </c>
      <c r="C58" s="9" t="s">
        <v>118</v>
      </c>
      <c r="D58" s="12">
        <v>8420714</v>
      </c>
      <c r="E58" s="12">
        <v>6970714</v>
      </c>
    </row>
    <row r="59" spans="1:5" ht="16.5" customHeight="1">
      <c r="A59" s="11" t="s">
        <v>119</v>
      </c>
      <c r="B59" s="9" t="s">
        <v>120</v>
      </c>
      <c r="C59" s="9" t="s">
        <v>121</v>
      </c>
      <c r="D59" s="12"/>
      <c r="E59" s="12"/>
    </row>
    <row r="60" spans="1:5" ht="16.5" customHeight="1">
      <c r="A60" s="11" t="s">
        <v>122</v>
      </c>
      <c r="B60" s="9" t="s">
        <v>123</v>
      </c>
      <c r="C60" s="9" t="s">
        <v>124</v>
      </c>
      <c r="D60" s="12">
        <v>88260000</v>
      </c>
      <c r="E60" s="12">
        <f>83640000</f>
        <v>83640000</v>
      </c>
    </row>
    <row r="61" spans="1:5" ht="16.5" customHeight="1">
      <c r="A61" s="11" t="s">
        <v>125</v>
      </c>
      <c r="B61" s="9">
        <v>269</v>
      </c>
      <c r="C61" s="9"/>
      <c r="D61" s="12"/>
      <c r="E61" s="12"/>
    </row>
    <row r="62" spans="1:5" ht="16.5" customHeight="1">
      <c r="A62" s="14" t="s">
        <v>126</v>
      </c>
      <c r="B62" s="9" t="s">
        <v>127</v>
      </c>
      <c r="C62" s="9" t="s">
        <v>11</v>
      </c>
      <c r="D62" s="10">
        <f>D9+D31</f>
        <v>97273050928</v>
      </c>
      <c r="E62" s="10">
        <f>E9+E31</f>
        <v>98129189415</v>
      </c>
    </row>
    <row r="63" spans="1:7" ht="16.5" customHeight="1">
      <c r="A63" s="15" t="s">
        <v>128</v>
      </c>
      <c r="B63" s="9" t="s">
        <v>11</v>
      </c>
      <c r="C63" s="9" t="s">
        <v>11</v>
      </c>
      <c r="D63" s="12"/>
      <c r="E63" s="12"/>
      <c r="G63" s="80">
        <f>D62-D102</f>
        <v>0</v>
      </c>
    </row>
    <row r="64" spans="1:5" ht="16.5" customHeight="1">
      <c r="A64" s="35" t="s">
        <v>129</v>
      </c>
      <c r="B64" s="9" t="s">
        <v>130</v>
      </c>
      <c r="C64" s="9" t="s">
        <v>11</v>
      </c>
      <c r="D64" s="10">
        <f>D65+D77</f>
        <v>54303849872</v>
      </c>
      <c r="E64" s="10">
        <f>E65+E77</f>
        <v>57374144954</v>
      </c>
    </row>
    <row r="65" spans="1:7" ht="16.5" customHeight="1">
      <c r="A65" s="8" t="s">
        <v>131</v>
      </c>
      <c r="B65" s="9" t="s">
        <v>132</v>
      </c>
      <c r="C65" s="9" t="s">
        <v>11</v>
      </c>
      <c r="D65" s="10">
        <f>SUM(D66:D76)</f>
        <v>35664246325</v>
      </c>
      <c r="E65" s="10">
        <f>SUM(E66:E76)</f>
        <v>38197391407</v>
      </c>
      <c r="G65" s="80"/>
    </row>
    <row r="66" spans="1:7" ht="16.5" customHeight="1">
      <c r="A66" s="11" t="s">
        <v>133</v>
      </c>
      <c r="B66" s="9" t="s">
        <v>134</v>
      </c>
      <c r="C66" s="9" t="s">
        <v>135</v>
      </c>
      <c r="D66" s="12"/>
      <c r="E66" s="12">
        <v>5350000000</v>
      </c>
      <c r="G66" s="80"/>
    </row>
    <row r="67" spans="1:5" ht="16.5" customHeight="1">
      <c r="A67" s="11" t="s">
        <v>136</v>
      </c>
      <c r="B67" s="9" t="s">
        <v>137</v>
      </c>
      <c r="C67" s="9" t="s">
        <v>11</v>
      </c>
      <c r="D67" s="12">
        <f>8359292996+379615728+2112493254</f>
        <v>10851401978</v>
      </c>
      <c r="E67" s="12">
        <f>4884062725+2248782271+3000000</f>
        <v>7135844996</v>
      </c>
    </row>
    <row r="68" spans="1:5" ht="16.5" customHeight="1">
      <c r="A68" s="11" t="s">
        <v>138</v>
      </c>
      <c r="B68" s="9" t="s">
        <v>139</v>
      </c>
      <c r="C68" s="9" t="s">
        <v>11</v>
      </c>
      <c r="D68" s="12">
        <f>170523062+18298960+57403435</f>
        <v>246225457</v>
      </c>
      <c r="E68" s="12">
        <f>267492942+75007170+4361470</f>
        <v>346861582</v>
      </c>
    </row>
    <row r="69" spans="1:5" ht="16.5" customHeight="1">
      <c r="A69" s="11" t="s">
        <v>140</v>
      </c>
      <c r="B69" s="9" t="s">
        <v>141</v>
      </c>
      <c r="C69" s="9" t="s">
        <v>142</v>
      </c>
      <c r="D69" s="12">
        <f>1266891697+90830050</f>
        <v>1357721747</v>
      </c>
      <c r="E69" s="12">
        <f>771550550+86532923</f>
        <v>858083473</v>
      </c>
    </row>
    <row r="70" spans="1:5" ht="16.5" customHeight="1">
      <c r="A70" s="13" t="s">
        <v>143</v>
      </c>
      <c r="B70" s="9" t="s">
        <v>144</v>
      </c>
      <c r="C70" s="9" t="s">
        <v>11</v>
      </c>
      <c r="D70" s="12">
        <f>5553259303+37751220+141608995</f>
        <v>5732619518</v>
      </c>
      <c r="E70" s="12">
        <f>9886917145+76550115</f>
        <v>9963467260</v>
      </c>
    </row>
    <row r="71" spans="1:5" ht="16.5" customHeight="1">
      <c r="A71" s="11" t="s">
        <v>145</v>
      </c>
      <c r="B71" s="9" t="s">
        <v>146</v>
      </c>
      <c r="C71" s="9" t="s">
        <v>147</v>
      </c>
      <c r="D71" s="12">
        <f>13179136347+20623002</f>
        <v>13199759349</v>
      </c>
      <c r="E71" s="12">
        <f>10846082432+14432729</f>
        <v>10860515161</v>
      </c>
    </row>
    <row r="72" spans="1:5" ht="16.5" customHeight="1">
      <c r="A72" s="11" t="s">
        <v>148</v>
      </c>
      <c r="B72" s="9" t="s">
        <v>149</v>
      </c>
      <c r="C72" s="9" t="s">
        <v>150</v>
      </c>
      <c r="D72" s="12"/>
      <c r="E72" s="12"/>
    </row>
    <row r="73" spans="1:5" ht="16.5" customHeight="1">
      <c r="A73" s="11" t="s">
        <v>151</v>
      </c>
      <c r="B73" s="9" t="s">
        <v>152</v>
      </c>
      <c r="C73" s="9" t="s">
        <v>11</v>
      </c>
      <c r="D73" s="12"/>
      <c r="E73" s="12"/>
    </row>
    <row r="74" spans="1:5" ht="16.5" customHeight="1">
      <c r="A74" s="11" t="s">
        <v>153</v>
      </c>
      <c r="B74" s="9" t="s">
        <v>154</v>
      </c>
      <c r="C74" s="9" t="s">
        <v>155</v>
      </c>
      <c r="D74" s="12">
        <f>4452878255+14607091+6557549</f>
        <v>4474042895</v>
      </c>
      <c r="E74" s="12">
        <f>3771161972+9908491+15288091</f>
        <v>3796358554</v>
      </c>
    </row>
    <row r="75" spans="1:5" ht="16.5" customHeight="1">
      <c r="A75" s="13" t="s">
        <v>156</v>
      </c>
      <c r="B75" s="9" t="s">
        <v>157</v>
      </c>
      <c r="C75" s="9" t="s">
        <v>11</v>
      </c>
      <c r="D75" s="12"/>
      <c r="E75" s="12"/>
    </row>
    <row r="76" spans="1:5" ht="16.5" customHeight="1">
      <c r="A76" s="11" t="s">
        <v>757</v>
      </c>
      <c r="B76" s="9">
        <v>323</v>
      </c>
      <c r="C76" s="9" t="s">
        <v>11</v>
      </c>
      <c r="D76" s="12">
        <v>-197524619</v>
      </c>
      <c r="E76" s="12">
        <v>-113739619</v>
      </c>
    </row>
    <row r="77" spans="1:7" ht="16.5" customHeight="1">
      <c r="A77" s="8" t="s">
        <v>158</v>
      </c>
      <c r="B77" s="9" t="s">
        <v>159</v>
      </c>
      <c r="C77" s="9" t="s">
        <v>11</v>
      </c>
      <c r="D77" s="10">
        <f>SUM(D78:D84)</f>
        <v>18639603547</v>
      </c>
      <c r="E77" s="10">
        <f>SUM(E78:E84)</f>
        <v>19176753547</v>
      </c>
      <c r="G77" s="80"/>
    </row>
    <row r="78" spans="1:5" ht="16.5" customHeight="1">
      <c r="A78" s="11" t="s">
        <v>160</v>
      </c>
      <c r="B78" s="9" t="s">
        <v>161</v>
      </c>
      <c r="C78" s="9" t="s">
        <v>11</v>
      </c>
      <c r="D78" s="12"/>
      <c r="E78" s="12"/>
    </row>
    <row r="79" spans="1:5" ht="16.5" customHeight="1">
      <c r="A79" s="11" t="s">
        <v>162</v>
      </c>
      <c r="B79" s="9" t="s">
        <v>163</v>
      </c>
      <c r="C79" s="9" t="s">
        <v>164</v>
      </c>
      <c r="D79" s="12"/>
      <c r="E79" s="12"/>
    </row>
    <row r="80" spans="1:5" ht="16.5" customHeight="1">
      <c r="A80" s="11" t="s">
        <v>165</v>
      </c>
      <c r="B80" s="9" t="s">
        <v>166</v>
      </c>
      <c r="C80" s="9" t="s">
        <v>167</v>
      </c>
      <c r="D80" s="12">
        <v>480000</v>
      </c>
      <c r="E80" s="12">
        <v>480000</v>
      </c>
    </row>
    <row r="81" spans="1:5" ht="16.5" customHeight="1">
      <c r="A81" s="11" t="s">
        <v>168</v>
      </c>
      <c r="B81" s="9" t="s">
        <v>169</v>
      </c>
      <c r="C81" s="9" t="s">
        <v>121</v>
      </c>
      <c r="D81" s="12">
        <v>18336550000</v>
      </c>
      <c r="E81" s="12">
        <v>18854550000</v>
      </c>
    </row>
    <row r="82" spans="1:5" ht="16.5" customHeight="1">
      <c r="A82" s="11" t="s">
        <v>170</v>
      </c>
      <c r="B82" s="9" t="s">
        <v>171</v>
      </c>
      <c r="C82" s="9" t="s">
        <v>172</v>
      </c>
      <c r="D82" s="12"/>
      <c r="E82" s="12"/>
    </row>
    <row r="83" spans="1:5" ht="16.5" customHeight="1">
      <c r="A83" s="13" t="s">
        <v>173</v>
      </c>
      <c r="B83" s="9" t="s">
        <v>174</v>
      </c>
      <c r="C83" s="9" t="s">
        <v>11</v>
      </c>
      <c r="D83" s="12">
        <v>302573547</v>
      </c>
      <c r="E83" s="12">
        <v>321723547</v>
      </c>
    </row>
    <row r="84" spans="1:5" ht="16.5" customHeight="1">
      <c r="A84" s="13" t="s">
        <v>175</v>
      </c>
      <c r="B84" s="9" t="s">
        <v>176</v>
      </c>
      <c r="C84" s="9" t="s">
        <v>11</v>
      </c>
      <c r="D84" s="12"/>
      <c r="E84" s="12"/>
    </row>
    <row r="85" spans="1:5" ht="16.5" customHeight="1">
      <c r="A85" s="35" t="s">
        <v>177</v>
      </c>
      <c r="B85" s="9" t="s">
        <v>178</v>
      </c>
      <c r="C85" s="9" t="s">
        <v>11</v>
      </c>
      <c r="D85" s="10">
        <f>D86+D98</f>
        <v>42969201056</v>
      </c>
      <c r="E85" s="10">
        <f>E86+E98</f>
        <v>40755044461</v>
      </c>
    </row>
    <row r="86" spans="1:5" ht="16.5" customHeight="1">
      <c r="A86" s="8" t="s">
        <v>179</v>
      </c>
      <c r="B86" s="9" t="s">
        <v>180</v>
      </c>
      <c r="C86" s="9" t="s">
        <v>11</v>
      </c>
      <c r="D86" s="10">
        <f>SUM(D87:D97)</f>
        <v>42969201056</v>
      </c>
      <c r="E86" s="10">
        <f>SUM(E87:E97)</f>
        <v>40755044461</v>
      </c>
    </row>
    <row r="87" spans="1:5" ht="16.5" customHeight="1">
      <c r="A87" s="11" t="s">
        <v>181</v>
      </c>
      <c r="B87" s="9" t="s">
        <v>182</v>
      </c>
      <c r="C87" s="9" t="s">
        <v>183</v>
      </c>
      <c r="D87" s="12">
        <v>15650000000</v>
      </c>
      <c r="E87" s="12">
        <v>15650000000</v>
      </c>
    </row>
    <row r="88" spans="1:5" ht="16.5" customHeight="1">
      <c r="A88" s="11" t="s">
        <v>184</v>
      </c>
      <c r="B88" s="9" t="s">
        <v>185</v>
      </c>
      <c r="C88" s="9" t="s">
        <v>11</v>
      </c>
      <c r="D88" s="12">
        <v>12686566099</v>
      </c>
      <c r="E88" s="12">
        <v>12686566099</v>
      </c>
    </row>
    <row r="89" spans="1:5" ht="16.5" customHeight="1">
      <c r="A89" s="13" t="s">
        <v>186</v>
      </c>
      <c r="B89" s="9" t="s">
        <v>187</v>
      </c>
      <c r="C89" s="9" t="s">
        <v>11</v>
      </c>
      <c r="D89" s="12"/>
      <c r="E89" s="12"/>
    </row>
    <row r="90" spans="1:5" ht="16.5" customHeight="1">
      <c r="A90" s="11" t="s">
        <v>188</v>
      </c>
      <c r="B90" s="9" t="s">
        <v>189</v>
      </c>
      <c r="C90" s="9" t="s">
        <v>11</v>
      </c>
      <c r="D90" s="12"/>
      <c r="E90" s="12"/>
    </row>
    <row r="91" spans="1:5" ht="16.5" customHeight="1">
      <c r="A91" s="11" t="s">
        <v>190</v>
      </c>
      <c r="B91" s="9" t="s">
        <v>191</v>
      </c>
      <c r="C91" s="9" t="s">
        <v>11</v>
      </c>
      <c r="D91" s="12"/>
      <c r="E91" s="12"/>
    </row>
    <row r="92" spans="1:5" ht="16.5" customHeight="1">
      <c r="A92" s="11" t="s">
        <v>192</v>
      </c>
      <c r="B92" s="9" t="s">
        <v>193</v>
      </c>
      <c r="C92" s="9" t="s">
        <v>11</v>
      </c>
      <c r="D92" s="12"/>
      <c r="E92" s="12"/>
    </row>
    <row r="93" spans="1:5" ht="16.5" customHeight="1">
      <c r="A93" s="11" t="s">
        <v>194</v>
      </c>
      <c r="B93" s="9" t="s">
        <v>195</v>
      </c>
      <c r="C93" s="9" t="s">
        <v>11</v>
      </c>
      <c r="D93" s="12">
        <v>3786499331</v>
      </c>
      <c r="E93" s="12">
        <v>3786499331</v>
      </c>
    </row>
    <row r="94" spans="1:5" ht="16.5" customHeight="1">
      <c r="A94" s="11" t="s">
        <v>196</v>
      </c>
      <c r="B94" s="9" t="s">
        <v>197</v>
      </c>
      <c r="C94" s="9" t="s">
        <v>11</v>
      </c>
      <c r="D94" s="12">
        <v>2023845430</v>
      </c>
      <c r="E94" s="12">
        <v>2023845430</v>
      </c>
    </row>
    <row r="95" spans="1:5" ht="16.5" customHeight="1">
      <c r="A95" s="11" t="s">
        <v>198</v>
      </c>
      <c r="B95" s="9" t="s">
        <v>199</v>
      </c>
      <c r="C95" s="9" t="s">
        <v>11</v>
      </c>
      <c r="D95" s="12"/>
      <c r="E95" s="12"/>
    </row>
    <row r="96" spans="1:5" ht="16.5" customHeight="1">
      <c r="A96" s="13" t="s">
        <v>200</v>
      </c>
      <c r="B96" s="9" t="s">
        <v>201</v>
      </c>
      <c r="C96" s="9" t="s">
        <v>11</v>
      </c>
      <c r="D96" s="12">
        <f>8101968538+247866496+472455162</f>
        <v>8822290196</v>
      </c>
      <c r="E96" s="12">
        <v>6608133601</v>
      </c>
    </row>
    <row r="97" spans="1:5" ht="16.5" customHeight="1">
      <c r="A97" s="11" t="s">
        <v>202</v>
      </c>
      <c r="B97" s="9" t="s">
        <v>203</v>
      </c>
      <c r="C97" s="9" t="s">
        <v>11</v>
      </c>
      <c r="D97" s="12"/>
      <c r="E97" s="12"/>
    </row>
    <row r="98" spans="1:5" ht="16.5" customHeight="1">
      <c r="A98" s="8" t="s">
        <v>204</v>
      </c>
      <c r="B98" s="9" t="s">
        <v>205</v>
      </c>
      <c r="C98" s="9" t="s">
        <v>11</v>
      </c>
      <c r="D98" s="10">
        <f>SUM(D99:D100)</f>
        <v>0</v>
      </c>
      <c r="E98" s="10">
        <f>SUM(E99:E100)</f>
        <v>0</v>
      </c>
    </row>
    <row r="99" spans="1:5" ht="16.5" customHeight="1">
      <c r="A99" s="11" t="s">
        <v>758</v>
      </c>
      <c r="B99" s="9" t="s">
        <v>206</v>
      </c>
      <c r="C99" s="9" t="s">
        <v>11</v>
      </c>
      <c r="D99" s="12"/>
      <c r="E99" s="12"/>
    </row>
    <row r="100" spans="1:5" ht="16.5" customHeight="1">
      <c r="A100" s="11" t="s">
        <v>759</v>
      </c>
      <c r="B100" s="9" t="s">
        <v>207</v>
      </c>
      <c r="C100" s="9" t="s">
        <v>11</v>
      </c>
      <c r="D100" s="12"/>
      <c r="E100" s="12"/>
    </row>
    <row r="101" spans="1:5" ht="16.5" customHeight="1">
      <c r="A101" s="35" t="s">
        <v>208</v>
      </c>
      <c r="B101" s="9">
        <v>439</v>
      </c>
      <c r="C101" s="9"/>
      <c r="D101" s="10"/>
      <c r="E101" s="10"/>
    </row>
    <row r="102" spans="1:5" ht="16.5" customHeight="1">
      <c r="A102" s="14" t="s">
        <v>209</v>
      </c>
      <c r="B102" s="9" t="s">
        <v>210</v>
      </c>
      <c r="C102" s="9" t="s">
        <v>11</v>
      </c>
      <c r="D102" s="10">
        <f>D64+D85+D101</f>
        <v>97273050928</v>
      </c>
      <c r="E102" s="10">
        <f>E64+E85+E101</f>
        <v>98129189415</v>
      </c>
    </row>
    <row r="103" spans="1:5" ht="16.5" customHeight="1">
      <c r="A103" s="15" t="s">
        <v>211</v>
      </c>
      <c r="B103" s="9" t="s">
        <v>11</v>
      </c>
      <c r="C103" s="9" t="s">
        <v>11</v>
      </c>
      <c r="D103" s="12"/>
      <c r="E103" s="12"/>
    </row>
    <row r="104" spans="1:7" ht="16.5" customHeight="1">
      <c r="A104" s="11" t="s">
        <v>212</v>
      </c>
      <c r="B104" s="9" t="s">
        <v>11</v>
      </c>
      <c r="C104" s="9" t="s">
        <v>213</v>
      </c>
      <c r="D104" s="12"/>
      <c r="E104" s="12"/>
      <c r="G104" s="80"/>
    </row>
    <row r="105" spans="1:5" ht="16.5" customHeight="1">
      <c r="A105" s="11" t="s">
        <v>214</v>
      </c>
      <c r="B105" s="9" t="s">
        <v>11</v>
      </c>
      <c r="C105" s="9" t="s">
        <v>215</v>
      </c>
      <c r="D105" s="12"/>
      <c r="E105" s="12"/>
    </row>
    <row r="106" spans="1:5" ht="16.5" customHeight="1">
      <c r="A106" s="11" t="s">
        <v>216</v>
      </c>
      <c r="B106" s="9" t="s">
        <v>11</v>
      </c>
      <c r="C106" s="9" t="s">
        <v>11</v>
      </c>
      <c r="D106" s="12"/>
      <c r="E106" s="12"/>
    </row>
    <row r="107" spans="1:5" ht="16.5" customHeight="1">
      <c r="A107" s="11" t="s">
        <v>217</v>
      </c>
      <c r="B107" s="9" t="s">
        <v>11</v>
      </c>
      <c r="C107" s="9" t="s">
        <v>11</v>
      </c>
      <c r="D107" s="12"/>
      <c r="E107" s="12"/>
    </row>
    <row r="108" spans="1:5" ht="16.5" customHeight="1">
      <c r="A108" s="11" t="s">
        <v>218</v>
      </c>
      <c r="B108" s="9" t="s">
        <v>11</v>
      </c>
      <c r="C108" s="9" t="s">
        <v>11</v>
      </c>
      <c r="D108" s="12"/>
      <c r="E108" s="12"/>
    </row>
    <row r="109" spans="1:5" ht="16.5" customHeight="1">
      <c r="A109" s="16" t="s">
        <v>219</v>
      </c>
      <c r="B109" s="17" t="s">
        <v>11</v>
      </c>
      <c r="C109" s="17" t="s">
        <v>11</v>
      </c>
      <c r="D109" s="18"/>
      <c r="E109" s="18"/>
    </row>
    <row r="110" ht="16.5" customHeight="1"/>
    <row r="111" spans="1:5" ht="27" customHeight="1">
      <c r="A111" s="121" t="s">
        <v>273</v>
      </c>
      <c r="B111" s="121"/>
      <c r="C111" s="121"/>
      <c r="D111" s="121"/>
      <c r="E111" s="121"/>
    </row>
    <row r="112" spans="1:5" ht="15">
      <c r="A112" s="121" t="s">
        <v>274</v>
      </c>
      <c r="B112" s="121"/>
      <c r="C112" s="121"/>
      <c r="D112" s="121"/>
      <c r="E112" s="121"/>
    </row>
    <row r="113" ht="16.5" customHeight="1"/>
    <row r="114" spans="1:5" ht="16.5" customHeight="1">
      <c r="A114" s="36"/>
      <c r="B114" s="36"/>
      <c r="C114" s="36"/>
      <c r="D114" s="119" t="s">
        <v>749</v>
      </c>
      <c r="E114" s="119"/>
    </row>
    <row r="115" spans="1:5" ht="16.5" customHeight="1">
      <c r="A115" s="120" t="s">
        <v>271</v>
      </c>
      <c r="B115" s="120"/>
      <c r="C115" s="120"/>
      <c r="D115" s="120" t="s">
        <v>268</v>
      </c>
      <c r="E115" s="120"/>
    </row>
    <row r="116" spans="1:5" ht="16.5" customHeight="1">
      <c r="A116" s="119" t="s">
        <v>272</v>
      </c>
      <c r="B116" s="119"/>
      <c r="C116" s="119"/>
      <c r="D116" s="119" t="s">
        <v>269</v>
      </c>
      <c r="E116" s="119"/>
    </row>
    <row r="117" ht="16.5" customHeight="1"/>
    <row r="118" ht="16.5" customHeight="1">
      <c r="D118" s="80"/>
    </row>
  </sheetData>
  <sheetProtection/>
  <mergeCells count="9">
    <mergeCell ref="A3:E3"/>
    <mergeCell ref="A4:E4"/>
    <mergeCell ref="D114:E114"/>
    <mergeCell ref="D115:E115"/>
    <mergeCell ref="D116:E116"/>
    <mergeCell ref="A115:C115"/>
    <mergeCell ref="A116:C116"/>
    <mergeCell ref="A111:E111"/>
    <mergeCell ref="A112:E112"/>
  </mergeCells>
  <printOptions/>
  <pageMargins left="0.5" right="0.25" top="0.5" bottom="0.5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B1">
      <selection activeCell="G25" sqref="G25"/>
    </sheetView>
  </sheetViews>
  <sheetFormatPr defaultColWidth="9.140625" defaultRowHeight="12.75"/>
  <cols>
    <col min="1" max="1" width="33.28125" style="21" customWidth="1"/>
    <col min="2" max="2" width="4.8515625" style="38" customWidth="1"/>
    <col min="3" max="5" width="12.7109375" style="21" customWidth="1"/>
    <col min="6" max="6" width="12.28125" style="21" customWidth="1"/>
    <col min="7" max="8" width="12.7109375" style="21" customWidth="1"/>
    <col min="9" max="9" width="12.28125" style="21" customWidth="1"/>
    <col min="10" max="10" width="12.7109375" style="21" customWidth="1"/>
    <col min="11" max="16384" width="9.140625" style="21" customWidth="1"/>
  </cols>
  <sheetData>
    <row r="1" spans="1:2" s="36" customFormat="1" ht="15">
      <c r="A1" s="20" t="s">
        <v>546</v>
      </c>
      <c r="B1" s="34"/>
    </row>
    <row r="2" spans="1:10" s="36" customFormat="1" ht="15">
      <c r="A2" s="20" t="s">
        <v>577</v>
      </c>
      <c r="B2" s="34"/>
      <c r="J2" s="34" t="s">
        <v>2</v>
      </c>
    </row>
    <row r="3" spans="1:10" s="20" customFormat="1" ht="21" customHeight="1">
      <c r="A3" s="128" t="s">
        <v>461</v>
      </c>
      <c r="B3" s="128" t="s">
        <v>462</v>
      </c>
      <c r="C3" s="128" t="s">
        <v>7</v>
      </c>
      <c r="D3" s="128" t="s">
        <v>529</v>
      </c>
      <c r="E3" s="128" t="s">
        <v>530</v>
      </c>
      <c r="F3" s="128"/>
      <c r="G3" s="128" t="s">
        <v>531</v>
      </c>
      <c r="H3" s="128" t="s">
        <v>530</v>
      </c>
      <c r="I3" s="128"/>
      <c r="J3" s="128" t="s">
        <v>6</v>
      </c>
    </row>
    <row r="4" spans="1:10" s="20" customFormat="1" ht="21" customHeight="1">
      <c r="A4" s="128"/>
      <c r="B4" s="128"/>
      <c r="C4" s="128"/>
      <c r="D4" s="128"/>
      <c r="E4" s="39" t="s">
        <v>532</v>
      </c>
      <c r="F4" s="39" t="s">
        <v>533</v>
      </c>
      <c r="G4" s="128"/>
      <c r="H4" s="39" t="s">
        <v>532</v>
      </c>
      <c r="I4" s="39" t="s">
        <v>533</v>
      </c>
      <c r="J4" s="128"/>
    </row>
    <row r="5" spans="1:10" s="20" customFormat="1" ht="15" customHeight="1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</row>
    <row r="6" spans="1:10" s="23" customFormat="1" ht="15" customHeight="1">
      <c r="A6" s="46" t="s">
        <v>547</v>
      </c>
      <c r="B6" s="47" t="s">
        <v>535</v>
      </c>
      <c r="C6" s="68">
        <f aca="true" t="shared" si="0" ref="C6:J6">C7+C10+C11+C12+C13+C14+C15+C16+C17+C18+C21</f>
        <v>38251177129</v>
      </c>
      <c r="D6" s="68">
        <f t="shared" si="0"/>
        <v>2503867332</v>
      </c>
      <c r="E6" s="68">
        <f t="shared" si="0"/>
        <v>0</v>
      </c>
      <c r="F6" s="68">
        <f t="shared" si="0"/>
        <v>0</v>
      </c>
      <c r="G6" s="68">
        <f t="shared" si="0"/>
        <v>0</v>
      </c>
      <c r="H6" s="68">
        <f t="shared" si="0"/>
        <v>0</v>
      </c>
      <c r="I6" s="68">
        <f t="shared" si="0"/>
        <v>0</v>
      </c>
      <c r="J6" s="68">
        <f t="shared" si="0"/>
        <v>42969201056</v>
      </c>
    </row>
    <row r="7" spans="1:10" ht="15" customHeight="1">
      <c r="A7" s="41" t="s">
        <v>181</v>
      </c>
      <c r="B7" s="9" t="s">
        <v>548</v>
      </c>
      <c r="C7" s="12">
        <v>15650000000</v>
      </c>
      <c r="D7" s="12"/>
      <c r="E7" s="12"/>
      <c r="F7" s="12"/>
      <c r="G7" s="12"/>
      <c r="H7" s="12"/>
      <c r="I7" s="12"/>
      <c r="J7" s="78">
        <f aca="true" t="shared" si="1" ref="J7:J17">C7+D7-G7</f>
        <v>15650000000</v>
      </c>
    </row>
    <row r="8" spans="1:10" ht="15" customHeight="1">
      <c r="A8" s="48" t="s">
        <v>549</v>
      </c>
      <c r="B8" s="9" t="s">
        <v>550</v>
      </c>
      <c r="C8" s="12"/>
      <c r="D8" s="12"/>
      <c r="E8" s="12"/>
      <c r="F8" s="12"/>
      <c r="G8" s="12"/>
      <c r="H8" s="12"/>
      <c r="I8" s="12"/>
      <c r="J8" s="78">
        <f t="shared" si="1"/>
        <v>0</v>
      </c>
    </row>
    <row r="9" spans="1:10" ht="15" customHeight="1">
      <c r="A9" s="48" t="s">
        <v>551</v>
      </c>
      <c r="B9" s="9" t="s">
        <v>552</v>
      </c>
      <c r="C9" s="12"/>
      <c r="D9" s="12"/>
      <c r="E9" s="12"/>
      <c r="F9" s="12"/>
      <c r="G9" s="12"/>
      <c r="H9" s="12"/>
      <c r="I9" s="12"/>
      <c r="J9" s="78">
        <f t="shared" si="1"/>
        <v>0</v>
      </c>
    </row>
    <row r="10" spans="1:10" ht="15" customHeight="1">
      <c r="A10" s="41" t="s">
        <v>553</v>
      </c>
      <c r="B10" s="9" t="s">
        <v>554</v>
      </c>
      <c r="C10" s="12">
        <v>12686566099</v>
      </c>
      <c r="D10" s="12"/>
      <c r="E10" s="12"/>
      <c r="F10" s="12"/>
      <c r="G10" s="12"/>
      <c r="H10" s="12"/>
      <c r="I10" s="12"/>
      <c r="J10" s="78">
        <f t="shared" si="1"/>
        <v>12686566099</v>
      </c>
    </row>
    <row r="11" spans="1:10" ht="15" customHeight="1">
      <c r="A11" s="41" t="s">
        <v>186</v>
      </c>
      <c r="B11" s="9" t="s">
        <v>555</v>
      </c>
      <c r="C11" s="12"/>
      <c r="D11" s="12"/>
      <c r="E11" s="12"/>
      <c r="F11" s="12"/>
      <c r="G11" s="12"/>
      <c r="H11" s="12"/>
      <c r="I11" s="12"/>
      <c r="J11" s="78">
        <f t="shared" si="1"/>
        <v>0</v>
      </c>
    </row>
    <row r="12" spans="1:10" ht="15" customHeight="1">
      <c r="A12" s="41" t="s">
        <v>556</v>
      </c>
      <c r="B12" s="9" t="s">
        <v>557</v>
      </c>
      <c r="C12" s="12"/>
      <c r="D12" s="12"/>
      <c r="E12" s="12"/>
      <c r="F12" s="12"/>
      <c r="G12" s="12"/>
      <c r="H12" s="12"/>
      <c r="I12" s="12"/>
      <c r="J12" s="78">
        <f t="shared" si="1"/>
        <v>0</v>
      </c>
    </row>
    <row r="13" spans="1:10" ht="15" customHeight="1">
      <c r="A13" s="41" t="s">
        <v>190</v>
      </c>
      <c r="B13" s="9" t="s">
        <v>558</v>
      </c>
      <c r="C13" s="12"/>
      <c r="D13" s="12"/>
      <c r="E13" s="12"/>
      <c r="F13" s="12"/>
      <c r="G13" s="12"/>
      <c r="H13" s="12"/>
      <c r="I13" s="12"/>
      <c r="J13" s="78">
        <f t="shared" si="1"/>
        <v>0</v>
      </c>
    </row>
    <row r="14" spans="1:10" ht="15" customHeight="1">
      <c r="A14" s="41" t="s">
        <v>192</v>
      </c>
      <c r="B14" s="9" t="s">
        <v>559</v>
      </c>
      <c r="C14" s="12"/>
      <c r="D14" s="12"/>
      <c r="E14" s="12"/>
      <c r="F14" s="12"/>
      <c r="G14" s="12"/>
      <c r="H14" s="12"/>
      <c r="I14" s="12"/>
      <c r="J14" s="78">
        <f t="shared" si="1"/>
        <v>0</v>
      </c>
    </row>
    <row r="15" spans="1:10" ht="15" customHeight="1">
      <c r="A15" s="41" t="s">
        <v>194</v>
      </c>
      <c r="B15" s="9" t="s">
        <v>560</v>
      </c>
      <c r="C15" s="12">
        <v>1860468732</v>
      </c>
      <c r="D15" s="12">
        <v>1926030599</v>
      </c>
      <c r="E15" s="12"/>
      <c r="F15" s="12"/>
      <c r="G15" s="12"/>
      <c r="H15" s="12"/>
      <c r="I15" s="12"/>
      <c r="J15" s="78">
        <f t="shared" si="1"/>
        <v>3786499331</v>
      </c>
    </row>
    <row r="16" spans="1:10" ht="15" customHeight="1">
      <c r="A16" s="41" t="s">
        <v>196</v>
      </c>
      <c r="B16" s="9" t="s">
        <v>561</v>
      </c>
      <c r="C16" s="12">
        <v>1446008697</v>
      </c>
      <c r="D16" s="12">
        <v>577836733</v>
      </c>
      <c r="E16" s="12"/>
      <c r="F16" s="12"/>
      <c r="G16" s="12"/>
      <c r="H16" s="12"/>
      <c r="I16" s="12"/>
      <c r="J16" s="78">
        <f t="shared" si="1"/>
        <v>2023845430</v>
      </c>
    </row>
    <row r="17" spans="1:10" ht="15" customHeight="1">
      <c r="A17" s="41" t="s">
        <v>198</v>
      </c>
      <c r="B17" s="9" t="s">
        <v>562</v>
      </c>
      <c r="C17" s="12"/>
      <c r="D17" s="12"/>
      <c r="E17" s="12"/>
      <c r="F17" s="12"/>
      <c r="G17" s="12"/>
      <c r="H17" s="12"/>
      <c r="I17" s="12"/>
      <c r="J17" s="78">
        <f t="shared" si="1"/>
        <v>0</v>
      </c>
    </row>
    <row r="18" spans="1:10" ht="15" customHeight="1">
      <c r="A18" s="41" t="s">
        <v>200</v>
      </c>
      <c r="B18" s="9" t="s">
        <v>13</v>
      </c>
      <c r="C18" s="12">
        <f aca="true" t="shared" si="2" ref="C18:J18">C19+C20</f>
        <v>6608133601</v>
      </c>
      <c r="D18" s="12"/>
      <c r="E18" s="12">
        <f t="shared" si="2"/>
        <v>0</v>
      </c>
      <c r="F18" s="12">
        <f t="shared" si="2"/>
        <v>0</v>
      </c>
      <c r="G18" s="12">
        <f t="shared" si="2"/>
        <v>0</v>
      </c>
      <c r="H18" s="12">
        <f t="shared" si="2"/>
        <v>0</v>
      </c>
      <c r="I18" s="12">
        <f t="shared" si="2"/>
        <v>0</v>
      </c>
      <c r="J18" s="12">
        <f t="shared" si="2"/>
        <v>8822290196</v>
      </c>
    </row>
    <row r="19" spans="1:10" ht="15" customHeight="1">
      <c r="A19" s="48" t="s">
        <v>563</v>
      </c>
      <c r="B19" s="9" t="s">
        <v>564</v>
      </c>
      <c r="C19" s="12">
        <v>6608133601</v>
      </c>
      <c r="D19" s="12"/>
      <c r="E19" s="12"/>
      <c r="F19" s="12"/>
      <c r="G19" s="12"/>
      <c r="H19" s="12"/>
      <c r="I19" s="12"/>
      <c r="J19" s="78">
        <f aca="true" t="shared" si="3" ref="J19:J24">C19+D19-G19</f>
        <v>6608133601</v>
      </c>
    </row>
    <row r="20" spans="1:10" ht="15" customHeight="1">
      <c r="A20" s="48" t="s">
        <v>565</v>
      </c>
      <c r="B20" s="9" t="s">
        <v>566</v>
      </c>
      <c r="C20" s="12"/>
      <c r="D20" s="12">
        <f>8822290196-C19</f>
        <v>2214156595</v>
      </c>
      <c r="E20" s="12"/>
      <c r="F20" s="12"/>
      <c r="G20" s="12"/>
      <c r="H20" s="12"/>
      <c r="I20" s="12"/>
      <c r="J20" s="78">
        <f t="shared" si="3"/>
        <v>2214156595</v>
      </c>
    </row>
    <row r="21" spans="1:10" ht="15" customHeight="1">
      <c r="A21" s="41" t="s">
        <v>567</v>
      </c>
      <c r="B21" s="9" t="s">
        <v>15</v>
      </c>
      <c r="C21" s="12"/>
      <c r="D21" s="12"/>
      <c r="E21" s="12"/>
      <c r="F21" s="12"/>
      <c r="G21" s="12"/>
      <c r="H21" s="12"/>
      <c r="I21" s="12"/>
      <c r="J21" s="78">
        <f t="shared" si="3"/>
        <v>0</v>
      </c>
    </row>
    <row r="22" spans="1:10" s="23" customFormat="1" ht="15" customHeight="1">
      <c r="A22" s="42" t="s">
        <v>568</v>
      </c>
      <c r="B22" s="49" t="s">
        <v>540</v>
      </c>
      <c r="C22" s="77">
        <f aca="true" t="shared" si="4" ref="C22:I22">SUM(C23:C29)</f>
        <v>-113739619</v>
      </c>
      <c r="D22" s="54">
        <f t="shared" si="4"/>
        <v>6070000</v>
      </c>
      <c r="E22" s="54">
        <f t="shared" si="4"/>
        <v>0</v>
      </c>
      <c r="F22" s="54">
        <f t="shared" si="4"/>
        <v>0</v>
      </c>
      <c r="G22" s="54">
        <f t="shared" si="4"/>
        <v>89855000</v>
      </c>
      <c r="H22" s="54">
        <f t="shared" si="4"/>
        <v>0</v>
      </c>
      <c r="I22" s="54">
        <f t="shared" si="4"/>
        <v>0</v>
      </c>
      <c r="J22" s="77">
        <f t="shared" si="3"/>
        <v>-197524619</v>
      </c>
    </row>
    <row r="23" spans="1:10" ht="15" customHeight="1">
      <c r="A23" s="41" t="s">
        <v>569</v>
      </c>
      <c r="B23" s="9" t="s">
        <v>237</v>
      </c>
      <c r="C23" s="76">
        <v>72708381</v>
      </c>
      <c r="D23" s="12"/>
      <c r="E23" s="12"/>
      <c r="F23" s="12"/>
      <c r="G23" s="12">
        <v>13100000</v>
      </c>
      <c r="H23" s="12"/>
      <c r="I23" s="12"/>
      <c r="J23" s="76">
        <f t="shared" si="3"/>
        <v>59608381</v>
      </c>
    </row>
    <row r="24" spans="1:10" ht="15" customHeight="1">
      <c r="A24" s="41" t="s">
        <v>570</v>
      </c>
      <c r="B24" s="9" t="s">
        <v>240</v>
      </c>
      <c r="C24" s="76">
        <v>-186448000</v>
      </c>
      <c r="D24" s="12">
        <v>6070000</v>
      </c>
      <c r="E24" s="12"/>
      <c r="F24" s="12"/>
      <c r="G24" s="12">
        <v>76755000</v>
      </c>
      <c r="H24" s="12"/>
      <c r="I24" s="12"/>
      <c r="J24" s="76">
        <f t="shared" si="3"/>
        <v>-257133000</v>
      </c>
    </row>
    <row r="25" spans="1:10" ht="15" customHeight="1">
      <c r="A25" s="48" t="s">
        <v>571</v>
      </c>
      <c r="B25" s="9" t="s">
        <v>80</v>
      </c>
      <c r="C25" s="12"/>
      <c r="D25" s="12"/>
      <c r="E25" s="12"/>
      <c r="F25" s="12"/>
      <c r="G25" s="12" t="s">
        <v>683</v>
      </c>
      <c r="H25" s="12"/>
      <c r="I25" s="12"/>
      <c r="J25" s="68"/>
    </row>
    <row r="26" spans="1:10" ht="15" customHeight="1">
      <c r="A26" s="48" t="s">
        <v>572</v>
      </c>
      <c r="B26" s="9" t="s">
        <v>83</v>
      </c>
      <c r="C26" s="12"/>
      <c r="D26" s="12"/>
      <c r="E26" s="12"/>
      <c r="F26" s="12"/>
      <c r="G26" s="12"/>
      <c r="H26" s="12"/>
      <c r="I26" s="12"/>
      <c r="J26" s="78">
        <f>C26+D26-G26</f>
        <v>0</v>
      </c>
    </row>
    <row r="27" spans="1:10" ht="15" customHeight="1">
      <c r="A27" s="41" t="s">
        <v>573</v>
      </c>
      <c r="B27" s="9" t="s">
        <v>243</v>
      </c>
      <c r="C27" s="12"/>
      <c r="D27" s="12"/>
      <c r="E27" s="12"/>
      <c r="F27" s="12"/>
      <c r="G27" s="12"/>
      <c r="H27" s="12"/>
      <c r="I27" s="12"/>
      <c r="J27" s="78">
        <f>C27+D27-G27</f>
        <v>0</v>
      </c>
    </row>
    <row r="28" spans="1:10" ht="15" customHeight="1">
      <c r="A28" s="41" t="s">
        <v>574</v>
      </c>
      <c r="B28" s="9" t="s">
        <v>245</v>
      </c>
      <c r="C28" s="12"/>
      <c r="D28" s="12"/>
      <c r="E28" s="12"/>
      <c r="F28" s="12"/>
      <c r="G28" s="12"/>
      <c r="H28" s="12"/>
      <c r="I28" s="12"/>
      <c r="J28" s="78">
        <f>C28+D28-G28</f>
        <v>0</v>
      </c>
    </row>
    <row r="29" spans="1:10" ht="15" customHeight="1">
      <c r="A29" s="50" t="s">
        <v>575</v>
      </c>
      <c r="B29" s="17" t="s">
        <v>247</v>
      </c>
      <c r="C29" s="18"/>
      <c r="D29" s="18"/>
      <c r="E29" s="18"/>
      <c r="F29" s="18"/>
      <c r="G29" s="18"/>
      <c r="H29" s="18"/>
      <c r="I29" s="18"/>
      <c r="J29" s="18">
        <f>C29+D29-G29</f>
        <v>0</v>
      </c>
    </row>
  </sheetData>
  <sheetProtection/>
  <mergeCells count="8">
    <mergeCell ref="E3:F3"/>
    <mergeCell ref="G3:G4"/>
    <mergeCell ref="H3:I3"/>
    <mergeCell ref="J3:J4"/>
    <mergeCell ref="A3:A4"/>
    <mergeCell ref="B3:B4"/>
    <mergeCell ref="C3:C4"/>
    <mergeCell ref="D3:D4"/>
  </mergeCells>
  <printOptions/>
  <pageMargins left="0.5" right="0.5" top="0.5" bottom="0.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37"/>
  <sheetViews>
    <sheetView zoomScalePageLayoutView="0" workbookViewId="0" topLeftCell="B15">
      <selection activeCell="F27" sqref="F27"/>
    </sheetView>
  </sheetViews>
  <sheetFormatPr defaultColWidth="9.140625" defaultRowHeight="12.75"/>
  <cols>
    <col min="1" max="1" width="53.28125" style="21" customWidth="1"/>
    <col min="2" max="2" width="7.421875" style="38" customWidth="1"/>
    <col min="3" max="3" width="19.57421875" style="21" customWidth="1"/>
    <col min="4" max="4" width="19.8515625" style="21" customWidth="1"/>
    <col min="5" max="5" width="19.7109375" style="21" customWidth="1"/>
    <col min="6" max="6" width="19.140625" style="21" customWidth="1"/>
    <col min="7" max="16384" width="9.140625" style="21" customWidth="1"/>
  </cols>
  <sheetData>
    <row r="2" spans="1:6" s="36" customFormat="1" ht="18.75">
      <c r="A2" s="117" t="s">
        <v>687</v>
      </c>
      <c r="B2" s="117"/>
      <c r="C2" s="117"/>
      <c r="D2" s="117"/>
      <c r="E2" s="117"/>
      <c r="F2" s="117"/>
    </row>
    <row r="3" spans="1:2" s="36" customFormat="1" ht="15">
      <c r="A3" s="20"/>
      <c r="B3" s="34"/>
    </row>
    <row r="4" spans="1:6" s="36" customFormat="1" ht="18">
      <c r="A4" s="129" t="s">
        <v>752</v>
      </c>
      <c r="B4" s="129"/>
      <c r="C4" s="129"/>
      <c r="D4" s="129"/>
      <c r="E4" s="129"/>
      <c r="F4" s="129"/>
    </row>
    <row r="5" spans="1:2" s="36" customFormat="1" ht="15">
      <c r="A5" s="20"/>
      <c r="B5" s="34"/>
    </row>
    <row r="6" spans="1:2" s="36" customFormat="1" ht="15">
      <c r="A6" s="20"/>
      <c r="B6" s="34"/>
    </row>
    <row r="7" spans="1:6" s="20" customFormat="1" ht="21" customHeight="1">
      <c r="A7" s="128" t="s">
        <v>221</v>
      </c>
      <c r="B7" s="128" t="s">
        <v>4</v>
      </c>
      <c r="C7" s="131" t="s">
        <v>7</v>
      </c>
      <c r="D7" s="128" t="s">
        <v>655</v>
      </c>
      <c r="E7" s="128"/>
      <c r="F7" s="131" t="s">
        <v>6</v>
      </c>
    </row>
    <row r="8" spans="1:6" s="20" customFormat="1" ht="21" customHeight="1">
      <c r="A8" s="128"/>
      <c r="B8" s="128"/>
      <c r="C8" s="132"/>
      <c r="D8" s="82" t="s">
        <v>685</v>
      </c>
      <c r="E8" s="82" t="s">
        <v>686</v>
      </c>
      <c r="F8" s="132"/>
    </row>
    <row r="9" spans="1:6" s="20" customFormat="1" ht="15" customHeight="1">
      <c r="A9" s="39">
        <v>1</v>
      </c>
      <c r="B9" s="39">
        <v>2</v>
      </c>
      <c r="C9" s="39">
        <v>3</v>
      </c>
      <c r="D9" s="39">
        <v>5</v>
      </c>
      <c r="E9" s="39">
        <v>6</v>
      </c>
      <c r="F9" s="39">
        <v>7</v>
      </c>
    </row>
    <row r="10" spans="1:6" s="23" customFormat="1" ht="15" customHeight="1">
      <c r="A10" s="46" t="s">
        <v>656</v>
      </c>
      <c r="B10" s="47">
        <v>10</v>
      </c>
      <c r="C10" s="68">
        <f>SUM(C11:C19)</f>
        <v>858083473</v>
      </c>
      <c r="D10" s="68">
        <f>SUM(D11:D19)</f>
        <v>2335746956</v>
      </c>
      <c r="E10" s="68">
        <f>SUM(E11:E19)</f>
        <v>1836108682</v>
      </c>
      <c r="F10" s="68">
        <f>SUM(F11:F19)</f>
        <v>1357721747</v>
      </c>
    </row>
    <row r="11" spans="1:6" ht="15" customHeight="1">
      <c r="A11" s="41" t="s">
        <v>657</v>
      </c>
      <c r="B11" s="9">
        <v>11</v>
      </c>
      <c r="C11" s="12">
        <v>83922013</v>
      </c>
      <c r="D11" s="12">
        <f>168142710+1357080417</f>
        <v>1525223127</v>
      </c>
      <c r="E11" s="12">
        <f>889737867+169820265</f>
        <v>1059558132</v>
      </c>
      <c r="F11" s="78">
        <f aca="true" t="shared" si="0" ref="F11:F24">C11+D11-E11</f>
        <v>549587008</v>
      </c>
    </row>
    <row r="12" spans="1:6" ht="15" customHeight="1">
      <c r="A12" s="41" t="s">
        <v>658</v>
      </c>
      <c r="B12" s="9">
        <v>12</v>
      </c>
      <c r="C12" s="12"/>
      <c r="D12" s="12"/>
      <c r="E12" s="12"/>
      <c r="F12" s="78">
        <f t="shared" si="0"/>
        <v>0</v>
      </c>
    </row>
    <row r="13" spans="1:6" ht="15" customHeight="1">
      <c r="A13" s="41" t="s">
        <v>659</v>
      </c>
      <c r="B13" s="9">
        <v>13</v>
      </c>
      <c r="C13" s="12"/>
      <c r="D13" s="12"/>
      <c r="E13" s="12"/>
      <c r="F13" s="78">
        <f t="shared" si="0"/>
        <v>0</v>
      </c>
    </row>
    <row r="14" spans="1:6" ht="15" customHeight="1">
      <c r="A14" s="41" t="s">
        <v>660</v>
      </c>
      <c r="B14" s="9">
        <v>14</v>
      </c>
      <c r="C14" s="12"/>
      <c r="D14" s="12"/>
      <c r="E14" s="12"/>
      <c r="F14" s="78">
        <f t="shared" si="0"/>
        <v>0</v>
      </c>
    </row>
    <row r="15" spans="1:6" ht="15" customHeight="1">
      <c r="A15" s="41" t="s">
        <v>661</v>
      </c>
      <c r="B15" s="9">
        <v>15</v>
      </c>
      <c r="C15" s="12">
        <v>750707645</v>
      </c>
      <c r="D15" s="12">
        <v>738052198</v>
      </c>
      <c r="E15" s="12">
        <v>750707645</v>
      </c>
      <c r="F15" s="78">
        <f t="shared" si="0"/>
        <v>738052198</v>
      </c>
    </row>
    <row r="16" spans="1:6" ht="15" customHeight="1">
      <c r="A16" s="41" t="s">
        <v>662</v>
      </c>
      <c r="B16" s="9">
        <v>16</v>
      </c>
      <c r="C16" s="12">
        <v>23453815</v>
      </c>
      <c r="D16" s="12">
        <f>61496949+5974682</f>
        <v>67471631</v>
      </c>
      <c r="E16" s="12">
        <v>20842905</v>
      </c>
      <c r="F16" s="78">
        <f t="shared" si="0"/>
        <v>70082541</v>
      </c>
    </row>
    <row r="17" spans="1:6" ht="15" customHeight="1">
      <c r="A17" s="41" t="s">
        <v>663</v>
      </c>
      <c r="B17" s="9">
        <v>17</v>
      </c>
      <c r="C17" s="12"/>
      <c r="D17" s="12"/>
      <c r="E17" s="12"/>
      <c r="F17" s="78">
        <f t="shared" si="0"/>
        <v>0</v>
      </c>
    </row>
    <row r="18" spans="1:6" ht="15" customHeight="1">
      <c r="A18" s="41" t="s">
        <v>664</v>
      </c>
      <c r="B18" s="9">
        <v>18</v>
      </c>
      <c r="C18" s="12"/>
      <c r="D18" s="12"/>
      <c r="E18" s="12"/>
      <c r="F18" s="78">
        <f t="shared" si="0"/>
        <v>0</v>
      </c>
    </row>
    <row r="19" spans="1:6" ht="15" customHeight="1">
      <c r="A19" s="41" t="s">
        <v>665</v>
      </c>
      <c r="B19" s="9">
        <v>19</v>
      </c>
      <c r="C19" s="12"/>
      <c r="D19" s="12">
        <f>5000000</f>
        <v>5000000</v>
      </c>
      <c r="E19" s="12">
        <f>5000000</f>
        <v>5000000</v>
      </c>
      <c r="F19" s="78">
        <f t="shared" si="0"/>
        <v>0</v>
      </c>
    </row>
    <row r="20" spans="1:6" s="23" customFormat="1" ht="15" customHeight="1">
      <c r="A20" s="42" t="s">
        <v>666</v>
      </c>
      <c r="B20" s="49">
        <v>30</v>
      </c>
      <c r="C20" s="54">
        <f>SUM(C21:C23)</f>
        <v>0</v>
      </c>
      <c r="D20" s="54"/>
      <c r="E20" s="54"/>
      <c r="F20" s="78">
        <f t="shared" si="0"/>
        <v>0</v>
      </c>
    </row>
    <row r="21" spans="1:6" ht="15" customHeight="1">
      <c r="A21" s="41" t="s">
        <v>667</v>
      </c>
      <c r="B21" s="9" t="s">
        <v>237</v>
      </c>
      <c r="C21" s="12"/>
      <c r="D21" s="12"/>
      <c r="E21" s="12"/>
      <c r="F21" s="78">
        <f t="shared" si="0"/>
        <v>0</v>
      </c>
    </row>
    <row r="22" spans="1:6" ht="15" customHeight="1">
      <c r="A22" s="41" t="s">
        <v>668</v>
      </c>
      <c r="B22" s="9" t="s">
        <v>240</v>
      </c>
      <c r="C22" s="12"/>
      <c r="D22" s="12"/>
      <c r="E22" s="12"/>
      <c r="F22" s="78">
        <f t="shared" si="0"/>
        <v>0</v>
      </c>
    </row>
    <row r="23" spans="1:6" ht="15" customHeight="1">
      <c r="A23" s="41" t="s">
        <v>669</v>
      </c>
      <c r="B23" s="9" t="s">
        <v>80</v>
      </c>
      <c r="C23" s="12"/>
      <c r="D23" s="12"/>
      <c r="E23" s="12"/>
      <c r="F23" s="78">
        <f t="shared" si="0"/>
        <v>0</v>
      </c>
    </row>
    <row r="24" spans="1:6" ht="15" customHeight="1">
      <c r="A24" s="41"/>
      <c r="B24" s="9"/>
      <c r="C24" s="12"/>
      <c r="D24" s="12"/>
      <c r="E24" s="12"/>
      <c r="F24" s="78">
        <f t="shared" si="0"/>
        <v>0</v>
      </c>
    </row>
    <row r="25" spans="1:6" s="23" customFormat="1" ht="15" customHeight="1">
      <c r="A25" s="75" t="s">
        <v>670</v>
      </c>
      <c r="B25" s="73">
        <v>40</v>
      </c>
      <c r="C25" s="74">
        <f>C10+C20</f>
        <v>858083473</v>
      </c>
      <c r="D25" s="74">
        <f>D10+D20</f>
        <v>2335746956</v>
      </c>
      <c r="E25" s="74">
        <f>E10+E20</f>
        <v>1836108682</v>
      </c>
      <c r="F25" s="74">
        <f>F10+F20</f>
        <v>1357721747</v>
      </c>
    </row>
    <row r="26" spans="1:2" s="36" customFormat="1" ht="15" customHeight="1">
      <c r="A26" s="36" t="s">
        <v>671</v>
      </c>
      <c r="B26" s="34"/>
    </row>
    <row r="27" spans="1:6" s="36" customFormat="1" ht="15" customHeight="1">
      <c r="A27" s="36" t="s">
        <v>672</v>
      </c>
      <c r="B27" s="34"/>
      <c r="F27" s="86"/>
    </row>
    <row r="28" spans="2:6" s="36" customFormat="1" ht="15" customHeight="1">
      <c r="B28" s="34"/>
      <c r="E28" s="130" t="s">
        <v>753</v>
      </c>
      <c r="F28" s="130"/>
    </row>
    <row r="29" spans="1:6" s="36" customFormat="1" ht="15" customHeight="1">
      <c r="A29" s="83" t="s">
        <v>688</v>
      </c>
      <c r="B29" s="130" t="s">
        <v>689</v>
      </c>
      <c r="C29" s="130"/>
      <c r="E29" s="130" t="s">
        <v>690</v>
      </c>
      <c r="F29" s="130"/>
    </row>
    <row r="30" s="36" customFormat="1" ht="15" customHeight="1">
      <c r="B30" s="34"/>
    </row>
    <row r="31" spans="2:6" s="36" customFormat="1" ht="15" customHeight="1">
      <c r="B31" s="34"/>
      <c r="F31" s="86"/>
    </row>
    <row r="32" s="36" customFormat="1" ht="15" customHeight="1">
      <c r="B32" s="34"/>
    </row>
    <row r="33" s="36" customFormat="1" ht="15" customHeight="1">
      <c r="B33" s="34"/>
    </row>
    <row r="34" s="36" customFormat="1" ht="15" customHeight="1">
      <c r="B34" s="34"/>
    </row>
    <row r="35" s="36" customFormat="1" ht="15">
      <c r="B35" s="34"/>
    </row>
    <row r="36" s="36" customFormat="1" ht="15">
      <c r="B36" s="34"/>
    </row>
    <row r="37" s="36" customFormat="1" ht="15">
      <c r="B37" s="34"/>
    </row>
  </sheetData>
  <sheetProtection/>
  <mergeCells count="10">
    <mergeCell ref="A2:F2"/>
    <mergeCell ref="A4:F4"/>
    <mergeCell ref="B29:C29"/>
    <mergeCell ref="E28:F28"/>
    <mergeCell ref="E29:F29"/>
    <mergeCell ref="D7:E7"/>
    <mergeCell ref="A7:A8"/>
    <mergeCell ref="B7:B8"/>
    <mergeCell ref="C7:C8"/>
    <mergeCell ref="F7:F8"/>
  </mergeCells>
  <printOptions/>
  <pageMargins left="0.5" right="0.5" top="0.5" bottom="0.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28.7109375" style="21" customWidth="1"/>
    <col min="2" max="2" width="8.7109375" style="21" customWidth="1"/>
    <col min="3" max="8" width="16.7109375" style="21" customWidth="1"/>
    <col min="9" max="16384" width="9.140625" style="21" customWidth="1"/>
  </cols>
  <sheetData>
    <row r="1" s="36" customFormat="1" ht="15">
      <c r="A1" s="20" t="s">
        <v>588</v>
      </c>
    </row>
    <row r="2" s="36" customFormat="1" ht="15">
      <c r="H2" s="34" t="s">
        <v>2</v>
      </c>
    </row>
    <row r="3" spans="1:8" ht="14.25" customHeight="1">
      <c r="A3" s="128" t="s">
        <v>461</v>
      </c>
      <c r="B3" s="128" t="s">
        <v>462</v>
      </c>
      <c r="C3" s="133" t="s">
        <v>222</v>
      </c>
      <c r="D3" s="134"/>
      <c r="E3" s="135"/>
      <c r="F3" s="133" t="s">
        <v>223</v>
      </c>
      <c r="G3" s="134"/>
      <c r="H3" s="135"/>
    </row>
    <row r="4" spans="1:8" ht="42.75">
      <c r="A4" s="128"/>
      <c r="B4" s="128"/>
      <c r="C4" s="39" t="s">
        <v>579</v>
      </c>
      <c r="D4" s="39" t="s">
        <v>580</v>
      </c>
      <c r="E4" s="39" t="s">
        <v>581</v>
      </c>
      <c r="F4" s="39" t="s">
        <v>579</v>
      </c>
      <c r="G4" s="39" t="s">
        <v>580</v>
      </c>
      <c r="H4" s="39" t="s">
        <v>581</v>
      </c>
    </row>
    <row r="5" spans="1:8" s="23" customFormat="1" ht="14.25">
      <c r="A5" s="39">
        <v>1</v>
      </c>
      <c r="B5" s="39">
        <v>2</v>
      </c>
      <c r="C5" s="39">
        <v>4</v>
      </c>
      <c r="D5" s="39">
        <v>5</v>
      </c>
      <c r="E5" s="39">
        <v>6</v>
      </c>
      <c r="F5" s="39">
        <v>7</v>
      </c>
      <c r="G5" s="39">
        <v>8</v>
      </c>
      <c r="H5" s="39">
        <v>9</v>
      </c>
    </row>
    <row r="6" spans="1:8" s="23" customFormat="1" ht="15" customHeight="1">
      <c r="A6" s="56"/>
      <c r="B6" s="65"/>
      <c r="C6" s="10"/>
      <c r="D6" s="10"/>
      <c r="E6" s="10"/>
      <c r="F6" s="10"/>
      <c r="G6" s="10"/>
      <c r="H6" s="10"/>
    </row>
    <row r="7" spans="1:8" ht="15" customHeight="1">
      <c r="A7" s="42" t="s">
        <v>582</v>
      </c>
      <c r="B7" s="66"/>
      <c r="C7" s="12"/>
      <c r="D7" s="12"/>
      <c r="E7" s="12"/>
      <c r="F7" s="12"/>
      <c r="G7" s="12"/>
      <c r="H7" s="12"/>
    </row>
    <row r="8" spans="1:8" ht="15" customHeight="1">
      <c r="A8" s="69"/>
      <c r="B8" s="66"/>
      <c r="C8" s="12"/>
      <c r="D8" s="12"/>
      <c r="E8" s="12"/>
      <c r="F8" s="12"/>
      <c r="G8" s="12"/>
      <c r="H8" s="12"/>
    </row>
    <row r="9" spans="1:8" ht="15" customHeight="1">
      <c r="A9" s="42" t="s">
        <v>583</v>
      </c>
      <c r="B9" s="66"/>
      <c r="C9" s="12"/>
      <c r="D9" s="12"/>
      <c r="E9" s="12"/>
      <c r="F9" s="12"/>
      <c r="G9" s="12"/>
      <c r="H9" s="12"/>
    </row>
    <row r="10" spans="1:8" ht="15" customHeight="1">
      <c r="A10" s="69"/>
      <c r="B10" s="66"/>
      <c r="C10" s="12"/>
      <c r="D10" s="12"/>
      <c r="E10" s="12"/>
      <c r="F10" s="12"/>
      <c r="G10" s="12"/>
      <c r="H10" s="12"/>
    </row>
    <row r="11" spans="1:8" ht="15" customHeight="1">
      <c r="A11" s="42" t="s">
        <v>584</v>
      </c>
      <c r="B11" s="66"/>
      <c r="C11" s="12"/>
      <c r="D11" s="12"/>
      <c r="E11" s="12"/>
      <c r="F11" s="12"/>
      <c r="G11" s="12"/>
      <c r="H11" s="12"/>
    </row>
    <row r="12" spans="1:8" ht="15" customHeight="1">
      <c r="A12" s="57"/>
      <c r="B12" s="67"/>
      <c r="C12" s="18"/>
      <c r="D12" s="18"/>
      <c r="E12" s="18"/>
      <c r="F12" s="18"/>
      <c r="G12" s="18"/>
      <c r="H12" s="18"/>
    </row>
  </sheetData>
  <sheetProtection/>
  <mergeCells count="4">
    <mergeCell ref="C3:E3"/>
    <mergeCell ref="F3:H3"/>
    <mergeCell ref="A3:A4"/>
    <mergeCell ref="B3:B4"/>
  </mergeCells>
  <printOptions/>
  <pageMargins left="0.5" right="0.5" top="0.5" bottom="0.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4">
      <selection activeCell="C5" sqref="C5"/>
    </sheetView>
  </sheetViews>
  <sheetFormatPr defaultColWidth="9.140625" defaultRowHeight="12.75"/>
  <cols>
    <col min="1" max="1" width="49.7109375" style="0" customWidth="1"/>
    <col min="3" max="3" width="18.421875" style="0" customWidth="1"/>
    <col min="4" max="4" width="18.8515625" style="0" customWidth="1"/>
  </cols>
  <sheetData>
    <row r="1" spans="1:4" s="21" customFormat="1" ht="15" customHeight="1">
      <c r="A1" s="20" t="s">
        <v>586</v>
      </c>
      <c r="B1" s="38"/>
      <c r="D1" s="43"/>
    </row>
    <row r="2" spans="1:4" s="21" customFormat="1" ht="15" customHeight="1">
      <c r="A2" s="36"/>
      <c r="B2" s="38"/>
      <c r="D2" s="34" t="s">
        <v>2</v>
      </c>
    </row>
    <row r="3" spans="1:4" s="20" customFormat="1" ht="48.75" customHeight="1">
      <c r="A3" s="39" t="s">
        <v>3</v>
      </c>
      <c r="B3" s="39" t="s">
        <v>284</v>
      </c>
      <c r="C3" s="39" t="s">
        <v>285</v>
      </c>
      <c r="D3" s="39" t="s">
        <v>286</v>
      </c>
    </row>
    <row r="4" spans="1:4" s="20" customFormat="1" ht="15" customHeight="1">
      <c r="A4" s="51">
        <v>1</v>
      </c>
      <c r="B4" s="51">
        <v>2</v>
      </c>
      <c r="C4" s="51">
        <v>3</v>
      </c>
      <c r="D4" s="51">
        <v>4</v>
      </c>
    </row>
    <row r="5" spans="1:4" s="23" customFormat="1" ht="15" customHeight="1">
      <c r="A5" s="46" t="s">
        <v>587</v>
      </c>
      <c r="B5" s="47"/>
      <c r="C5" s="87">
        <f>SUM(C6:C10)</f>
        <v>683579090</v>
      </c>
      <c r="D5" s="7">
        <f>SUM(D6:D10)</f>
        <v>60239999</v>
      </c>
    </row>
    <row r="6" spans="1:4" s="21" customFormat="1" ht="15" customHeight="1">
      <c r="A6" s="48" t="s">
        <v>695</v>
      </c>
      <c r="B6" s="9" t="s">
        <v>11</v>
      </c>
      <c r="C6" s="88">
        <v>657619090</v>
      </c>
      <c r="D6" s="12">
        <v>53829999</v>
      </c>
    </row>
    <row r="7" spans="1:4" s="21" customFormat="1" ht="15" customHeight="1">
      <c r="A7" s="48" t="s">
        <v>754</v>
      </c>
      <c r="B7" s="9" t="s">
        <v>11</v>
      </c>
      <c r="C7" s="88">
        <v>25960000</v>
      </c>
      <c r="D7" s="12">
        <v>6410000</v>
      </c>
    </row>
    <row r="8" spans="1:4" s="21" customFormat="1" ht="15" customHeight="1">
      <c r="A8" s="48" t="s">
        <v>755</v>
      </c>
      <c r="B8" s="9"/>
      <c r="C8" s="88"/>
      <c r="D8" s="12"/>
    </row>
    <row r="9" spans="1:4" s="21" customFormat="1" ht="15" customHeight="1">
      <c r="A9" s="48" t="s">
        <v>694</v>
      </c>
      <c r="B9" s="9" t="s">
        <v>11</v>
      </c>
      <c r="C9" s="88"/>
      <c r="D9" s="12"/>
    </row>
    <row r="10" spans="1:4" s="21" customFormat="1" ht="15" customHeight="1">
      <c r="A10" s="48" t="s">
        <v>682</v>
      </c>
      <c r="B10" s="9" t="s">
        <v>11</v>
      </c>
      <c r="C10" s="88"/>
      <c r="D10" s="12"/>
    </row>
    <row r="11" spans="1:4" s="21" customFormat="1" ht="15" customHeight="1">
      <c r="A11" s="79"/>
      <c r="B11" s="9" t="s">
        <v>11</v>
      </c>
      <c r="C11" s="12"/>
      <c r="D11" s="12"/>
    </row>
    <row r="12" spans="1:4" s="21" customFormat="1" ht="15" customHeight="1">
      <c r="A12" s="79"/>
      <c r="B12" s="9" t="s">
        <v>11</v>
      </c>
      <c r="C12" s="12"/>
      <c r="D12" s="12"/>
    </row>
    <row r="13" spans="1:4" s="21" customFormat="1" ht="15" customHeight="1">
      <c r="A13" s="79"/>
      <c r="B13" s="9" t="s">
        <v>11</v>
      </c>
      <c r="C13" s="12"/>
      <c r="D13" s="12"/>
    </row>
    <row r="14" spans="1:4" s="21" customFormat="1" ht="15" customHeight="1">
      <c r="A14" s="79"/>
      <c r="B14" s="9" t="s">
        <v>11</v>
      </c>
      <c r="C14" s="12"/>
      <c r="D14" s="12"/>
    </row>
    <row r="15" spans="1:4" s="21" customFormat="1" ht="15" customHeight="1">
      <c r="A15" s="79"/>
      <c r="B15" s="9" t="s">
        <v>11</v>
      </c>
      <c r="C15" s="12"/>
      <c r="D15" s="12"/>
    </row>
    <row r="16" spans="1:4" s="21" customFormat="1" ht="15" customHeight="1">
      <c r="A16" s="57"/>
      <c r="B16" s="17" t="s">
        <v>11</v>
      </c>
      <c r="C16" s="18"/>
      <c r="D16" s="18"/>
    </row>
  </sheetData>
  <sheetProtection/>
  <printOptions/>
  <pageMargins left="0.61" right="0.5" top="0.5" bottom="0.5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7">
      <selection activeCell="C12" sqref="C12"/>
    </sheetView>
  </sheetViews>
  <sheetFormatPr defaultColWidth="9.140625" defaultRowHeight="12.75"/>
  <cols>
    <col min="1" max="1" width="74.421875" style="0" customWidth="1"/>
    <col min="2" max="2" width="5.421875" style="0" customWidth="1"/>
    <col min="3" max="3" width="17.7109375" style="0" customWidth="1"/>
  </cols>
  <sheetData>
    <row r="1" spans="1:3" ht="14.25">
      <c r="A1" s="20" t="s">
        <v>691</v>
      </c>
      <c r="B1" s="38"/>
      <c r="C1" s="21"/>
    </row>
    <row r="2" spans="1:3" ht="15">
      <c r="A2" s="44"/>
      <c r="B2" s="45"/>
      <c r="C2" s="34" t="s">
        <v>2</v>
      </c>
    </row>
    <row r="3" spans="1:3" ht="28.5">
      <c r="A3" s="39" t="s">
        <v>3</v>
      </c>
      <c r="B3" s="39" t="s">
        <v>4</v>
      </c>
      <c r="C3" s="39" t="s">
        <v>589</v>
      </c>
    </row>
    <row r="4" spans="1:3" ht="14.25">
      <c r="A4" s="51">
        <v>1</v>
      </c>
      <c r="B4" s="51">
        <v>2</v>
      </c>
      <c r="C4" s="51">
        <v>3</v>
      </c>
    </row>
    <row r="5" spans="1:3" ht="14.25">
      <c r="A5" s="46" t="s">
        <v>590</v>
      </c>
      <c r="B5" s="47"/>
      <c r="C5" s="7"/>
    </row>
    <row r="6" spans="1:3" ht="15">
      <c r="A6" s="48" t="s">
        <v>591</v>
      </c>
      <c r="B6" s="9" t="s">
        <v>11</v>
      </c>
      <c r="C6" s="12"/>
    </row>
    <row r="7" spans="1:3" ht="15">
      <c r="A7" s="48" t="s">
        <v>592</v>
      </c>
      <c r="B7" s="9" t="s">
        <v>11</v>
      </c>
      <c r="C7" s="76"/>
    </row>
    <row r="8" spans="1:3" ht="15">
      <c r="A8" s="41"/>
      <c r="B8" s="9" t="s">
        <v>11</v>
      </c>
      <c r="C8" s="12"/>
    </row>
    <row r="9" spans="1:3" s="70" customFormat="1" ht="14.25">
      <c r="A9" s="42" t="s">
        <v>593</v>
      </c>
      <c r="B9" s="49" t="s">
        <v>11</v>
      </c>
      <c r="C9" s="10"/>
    </row>
    <row r="10" spans="1:3" ht="15">
      <c r="A10" s="48" t="s">
        <v>594</v>
      </c>
      <c r="B10" s="9" t="s">
        <v>11</v>
      </c>
      <c r="C10" s="12"/>
    </row>
    <row r="11" spans="1:3" ht="15">
      <c r="A11" s="48" t="s">
        <v>595</v>
      </c>
      <c r="B11" s="9" t="s">
        <v>11</v>
      </c>
      <c r="C11" s="88" t="s">
        <v>756</v>
      </c>
    </row>
    <row r="12" spans="1:3" ht="15">
      <c r="A12" s="48" t="s">
        <v>596</v>
      </c>
      <c r="B12" s="9" t="s">
        <v>11</v>
      </c>
      <c r="C12" s="12"/>
    </row>
    <row r="13" spans="1:3" ht="15">
      <c r="A13" s="48"/>
      <c r="B13" s="9" t="s">
        <v>11</v>
      </c>
      <c r="C13" s="12"/>
    </row>
    <row r="14" spans="1:3" s="70" customFormat="1" ht="14.25">
      <c r="A14" s="42" t="s">
        <v>597</v>
      </c>
      <c r="B14" s="49" t="s">
        <v>11</v>
      </c>
      <c r="C14" s="10"/>
    </row>
    <row r="15" spans="1:3" ht="15">
      <c r="A15" s="48" t="s">
        <v>598</v>
      </c>
      <c r="B15" s="9"/>
      <c r="C15" s="12"/>
    </row>
    <row r="16" spans="1:3" ht="15">
      <c r="A16" s="41"/>
      <c r="B16" s="9"/>
      <c r="C16" s="12"/>
    </row>
    <row r="17" spans="1:3" s="70" customFormat="1" ht="14.25">
      <c r="A17" s="42" t="s">
        <v>599</v>
      </c>
      <c r="B17" s="49"/>
      <c r="C17" s="10"/>
    </row>
    <row r="18" spans="1:3" ht="15">
      <c r="A18" s="48" t="s">
        <v>600</v>
      </c>
      <c r="B18" s="9"/>
      <c r="C18" s="12"/>
    </row>
    <row r="19" spans="1:3" ht="15">
      <c r="A19" s="48" t="s">
        <v>601</v>
      </c>
      <c r="B19" s="9" t="s">
        <v>11</v>
      </c>
      <c r="C19" s="12"/>
    </row>
    <row r="20" spans="1:3" ht="15">
      <c r="A20" s="57"/>
      <c r="B20" s="17" t="s">
        <v>11</v>
      </c>
      <c r="C20" s="18"/>
    </row>
  </sheetData>
  <sheetProtection/>
  <printOptions/>
  <pageMargins left="0.5" right="0.25" top="0.5" bottom="0.5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74"/>
  <sheetViews>
    <sheetView zoomScalePageLayoutView="0" workbookViewId="0" topLeftCell="A16">
      <selection activeCell="C62" sqref="C62"/>
    </sheetView>
  </sheetViews>
  <sheetFormatPr defaultColWidth="9.140625" defaultRowHeight="12.75"/>
  <cols>
    <col min="1" max="1" width="63.28125" style="36" customWidth="1"/>
    <col min="2" max="2" width="5.7109375" style="38" customWidth="1"/>
    <col min="3" max="3" width="13.421875" style="21" customWidth="1"/>
    <col min="4" max="4" width="15.28125" style="21" customWidth="1"/>
    <col min="5" max="16384" width="9.140625" style="21" customWidth="1"/>
  </cols>
  <sheetData>
    <row r="1" spans="1:2" s="36" customFormat="1" ht="15">
      <c r="A1" s="20" t="s">
        <v>602</v>
      </c>
      <c r="B1" s="34"/>
    </row>
    <row r="2" spans="2:4" s="36" customFormat="1" ht="15">
      <c r="B2" s="34"/>
      <c r="C2" s="127" t="s">
        <v>2</v>
      </c>
      <c r="D2" s="127"/>
    </row>
    <row r="3" spans="1:4" s="20" customFormat="1" ht="28.5">
      <c r="A3" s="39" t="s">
        <v>3</v>
      </c>
      <c r="B3" s="39" t="s">
        <v>603</v>
      </c>
      <c r="C3" s="39" t="s">
        <v>222</v>
      </c>
      <c r="D3" s="22" t="s">
        <v>223</v>
      </c>
    </row>
    <row r="4" spans="1:4" s="20" customFormat="1" ht="14.25">
      <c r="A4" s="51">
        <v>1</v>
      </c>
      <c r="B4" s="51">
        <v>2</v>
      </c>
      <c r="C4" s="51">
        <v>3</v>
      </c>
      <c r="D4" s="40">
        <v>4</v>
      </c>
    </row>
    <row r="5" spans="1:4" s="23" customFormat="1" ht="15" customHeight="1">
      <c r="A5" s="46" t="s">
        <v>673</v>
      </c>
      <c r="B5" s="47" t="s">
        <v>226</v>
      </c>
      <c r="C5" s="68">
        <f>190630492458-26102494-354591818</f>
        <v>190249798146</v>
      </c>
      <c r="D5" s="68">
        <v>528561165241</v>
      </c>
    </row>
    <row r="6" spans="1:4" ht="15" customHeight="1">
      <c r="A6" s="41" t="s">
        <v>530</v>
      </c>
      <c r="B6" s="9" t="s">
        <v>11</v>
      </c>
      <c r="C6" s="12"/>
      <c r="D6" s="12"/>
    </row>
    <row r="7" spans="1:4" s="23" customFormat="1" ht="15" customHeight="1">
      <c r="A7" s="69" t="s">
        <v>604</v>
      </c>
      <c r="B7" s="49" t="s">
        <v>11</v>
      </c>
      <c r="C7" s="54">
        <f>C5-C14</f>
        <v>150851714224</v>
      </c>
      <c r="D7" s="54">
        <f>D5-D14</f>
        <v>407192484426</v>
      </c>
    </row>
    <row r="8" spans="1:4" ht="15" customHeight="1">
      <c r="A8" s="48" t="s">
        <v>605</v>
      </c>
      <c r="B8" s="9" t="s">
        <v>11</v>
      </c>
      <c r="C8" s="12">
        <f>C5-C14</f>
        <v>150851714224</v>
      </c>
      <c r="D8" s="12">
        <f>D7</f>
        <v>407192484426</v>
      </c>
    </row>
    <row r="9" spans="1:4" ht="15" customHeight="1">
      <c r="A9" s="48" t="s">
        <v>606</v>
      </c>
      <c r="B9" s="9" t="s">
        <v>11</v>
      </c>
      <c r="C9" s="12"/>
      <c r="D9" s="12"/>
    </row>
    <row r="10" spans="1:4" ht="15" customHeight="1">
      <c r="A10" s="48" t="s">
        <v>607</v>
      </c>
      <c r="B10" s="9" t="s">
        <v>11</v>
      </c>
      <c r="C10" s="12"/>
      <c r="D10" s="12"/>
    </row>
    <row r="11" spans="1:4" ht="15" customHeight="1">
      <c r="A11" s="48" t="s">
        <v>608</v>
      </c>
      <c r="B11" s="9" t="s">
        <v>11</v>
      </c>
      <c r="C11" s="12"/>
      <c r="D11" s="12"/>
    </row>
    <row r="12" spans="1:4" ht="15" customHeight="1">
      <c r="A12" s="41" t="s">
        <v>609</v>
      </c>
      <c r="B12" s="9" t="s">
        <v>11</v>
      </c>
      <c r="C12" s="12"/>
      <c r="D12" s="12"/>
    </row>
    <row r="13" spans="1:4" ht="15" customHeight="1">
      <c r="A13" s="41" t="s">
        <v>610</v>
      </c>
      <c r="B13" s="9" t="s">
        <v>11</v>
      </c>
      <c r="C13" s="12"/>
      <c r="D13" s="12"/>
    </row>
    <row r="14" spans="1:4" s="23" customFormat="1" ht="15" customHeight="1">
      <c r="A14" s="69" t="s">
        <v>611</v>
      </c>
      <c r="B14" s="49" t="s">
        <v>11</v>
      </c>
      <c r="C14" s="54">
        <v>39398083922</v>
      </c>
      <c r="D14" s="54">
        <v>121368680815</v>
      </c>
    </row>
    <row r="15" spans="1:4" ht="15" customHeight="1">
      <c r="A15" s="48" t="s">
        <v>612</v>
      </c>
      <c r="B15" s="9" t="s">
        <v>11</v>
      </c>
      <c r="C15" s="12"/>
      <c r="D15" s="12"/>
    </row>
    <row r="16" spans="1:4" ht="15" customHeight="1">
      <c r="A16" s="48" t="s">
        <v>613</v>
      </c>
      <c r="B16" s="9" t="s">
        <v>11</v>
      </c>
      <c r="C16" s="12">
        <f>C17</f>
        <v>38569586774</v>
      </c>
      <c r="D16" s="12">
        <f>D17</f>
        <v>118056513958</v>
      </c>
    </row>
    <row r="17" spans="1:4" ht="15" customHeight="1">
      <c r="A17" s="41" t="s">
        <v>609</v>
      </c>
      <c r="B17" s="9" t="s">
        <v>11</v>
      </c>
      <c r="C17" s="12">
        <v>38569586774</v>
      </c>
      <c r="D17" s="12">
        <v>118056513958</v>
      </c>
    </row>
    <row r="18" spans="1:4" ht="15" customHeight="1">
      <c r="A18" s="41" t="s">
        <v>610</v>
      </c>
      <c r="B18" s="9" t="s">
        <v>11</v>
      </c>
      <c r="C18" s="12"/>
      <c r="D18" s="12"/>
    </row>
    <row r="19" spans="1:4" s="23" customFormat="1" ht="15" customHeight="1">
      <c r="A19" s="69" t="s">
        <v>614</v>
      </c>
      <c r="B19" s="49" t="s">
        <v>11</v>
      </c>
      <c r="C19" s="10"/>
      <c r="D19" s="10"/>
    </row>
    <row r="20" spans="1:4" ht="15" customHeight="1">
      <c r="A20" s="48" t="s">
        <v>615</v>
      </c>
      <c r="B20" s="9" t="s">
        <v>11</v>
      </c>
      <c r="C20" s="12"/>
      <c r="D20" s="12"/>
    </row>
    <row r="21" spans="1:4" ht="15" customHeight="1">
      <c r="A21" s="48" t="s">
        <v>616</v>
      </c>
      <c r="B21" s="9" t="s">
        <v>11</v>
      </c>
      <c r="C21" s="12"/>
      <c r="D21" s="12"/>
    </row>
    <row r="22" spans="1:4" s="23" customFormat="1" ht="15" customHeight="1">
      <c r="A22" s="42" t="s">
        <v>674</v>
      </c>
      <c r="B22" s="49" t="s">
        <v>229</v>
      </c>
      <c r="C22" s="10"/>
      <c r="D22" s="10"/>
    </row>
    <row r="23" spans="1:4" ht="15" customHeight="1">
      <c r="A23" s="48" t="s">
        <v>617</v>
      </c>
      <c r="B23" s="9" t="s">
        <v>11</v>
      </c>
      <c r="C23" s="12"/>
      <c r="D23" s="12"/>
    </row>
    <row r="24" spans="1:4" ht="15" customHeight="1">
      <c r="A24" s="48" t="s">
        <v>618</v>
      </c>
      <c r="B24" s="9" t="s">
        <v>11</v>
      </c>
      <c r="C24" s="12"/>
      <c r="D24" s="12"/>
    </row>
    <row r="25" spans="1:4" ht="15" customHeight="1">
      <c r="A25" s="48" t="s">
        <v>619</v>
      </c>
      <c r="B25" s="9" t="s">
        <v>11</v>
      </c>
      <c r="C25" s="12"/>
      <c r="D25" s="12"/>
    </row>
    <row r="26" spans="1:4" ht="15" customHeight="1">
      <c r="A26" s="48" t="s">
        <v>620</v>
      </c>
      <c r="B26" s="9" t="s">
        <v>11</v>
      </c>
      <c r="C26" s="12"/>
      <c r="D26" s="12"/>
    </row>
    <row r="27" spans="1:4" ht="15" customHeight="1">
      <c r="A27" s="48" t="s">
        <v>328</v>
      </c>
      <c r="B27" s="9" t="s">
        <v>11</v>
      </c>
      <c r="C27" s="12"/>
      <c r="D27" s="12"/>
    </row>
    <row r="28" spans="1:4" ht="15" customHeight="1">
      <c r="A28" s="48" t="s">
        <v>621</v>
      </c>
      <c r="B28" s="9" t="s">
        <v>11</v>
      </c>
      <c r="C28" s="12"/>
      <c r="D28" s="12"/>
    </row>
    <row r="29" spans="1:4" s="23" customFormat="1" ht="15" customHeight="1">
      <c r="A29" s="42" t="s">
        <v>675</v>
      </c>
      <c r="B29" s="49" t="s">
        <v>231</v>
      </c>
      <c r="C29" s="54">
        <f>C31+C32</f>
        <v>190249798146</v>
      </c>
      <c r="D29" s="54">
        <f>D31+D32</f>
        <v>528561165241</v>
      </c>
    </row>
    <row r="30" spans="1:4" ht="15" customHeight="1">
      <c r="A30" s="41" t="s">
        <v>530</v>
      </c>
      <c r="B30" s="9" t="s">
        <v>11</v>
      </c>
      <c r="C30" s="12"/>
      <c r="D30" s="12"/>
    </row>
    <row r="31" spans="1:4" ht="15" customHeight="1">
      <c r="A31" s="48" t="s">
        <v>622</v>
      </c>
      <c r="B31" s="9"/>
      <c r="C31" s="12">
        <f>C8</f>
        <v>150851714224</v>
      </c>
      <c r="D31" s="12">
        <f>D8</f>
        <v>407192484426</v>
      </c>
    </row>
    <row r="32" spans="1:4" ht="15" customHeight="1">
      <c r="A32" s="48" t="s">
        <v>623</v>
      </c>
      <c r="B32" s="9" t="s">
        <v>11</v>
      </c>
      <c r="C32" s="12">
        <f>C14</f>
        <v>39398083922</v>
      </c>
      <c r="D32" s="12">
        <f>D14</f>
        <v>121368680815</v>
      </c>
    </row>
    <row r="33" spans="1:4" s="23" customFormat="1" ht="15" customHeight="1">
      <c r="A33" s="42" t="s">
        <v>676</v>
      </c>
      <c r="B33" s="49" t="s">
        <v>234</v>
      </c>
      <c r="C33" s="54">
        <f>SUM(C34:C41)</f>
        <v>183788607108</v>
      </c>
      <c r="D33" s="54">
        <f>SUM(D34:D41)</f>
        <v>503154550580</v>
      </c>
    </row>
    <row r="34" spans="1:4" ht="15" customHeight="1">
      <c r="A34" s="48" t="s">
        <v>624</v>
      </c>
      <c r="B34" s="9" t="s">
        <v>11</v>
      </c>
      <c r="C34" s="12">
        <v>147000857538</v>
      </c>
      <c r="D34" s="12">
        <f>503154550580-D36</f>
        <v>391009498415</v>
      </c>
    </row>
    <row r="35" spans="1:4" ht="15" customHeight="1">
      <c r="A35" s="48" t="s">
        <v>625</v>
      </c>
      <c r="B35" s="9" t="s">
        <v>11</v>
      </c>
      <c r="C35" s="12"/>
      <c r="D35" s="12"/>
    </row>
    <row r="36" spans="1:4" ht="15" customHeight="1">
      <c r="A36" s="48" t="s">
        <v>626</v>
      </c>
      <c r="B36" s="9" t="s">
        <v>11</v>
      </c>
      <c r="C36" s="12">
        <f>38097662057-1309912487</f>
        <v>36787749570</v>
      </c>
      <c r="D36" s="12">
        <v>112145052165</v>
      </c>
    </row>
    <row r="37" spans="1:4" ht="15" customHeight="1">
      <c r="A37" s="48" t="s">
        <v>627</v>
      </c>
      <c r="B37" s="9" t="s">
        <v>11</v>
      </c>
      <c r="C37" s="12"/>
      <c r="D37" s="12"/>
    </row>
    <row r="38" spans="1:4" ht="15" customHeight="1">
      <c r="A38" s="48" t="s">
        <v>628</v>
      </c>
      <c r="B38" s="9" t="s">
        <v>11</v>
      </c>
      <c r="C38" s="12"/>
      <c r="D38" s="12"/>
    </row>
    <row r="39" spans="1:4" ht="15" customHeight="1">
      <c r="A39" s="48" t="s">
        <v>629</v>
      </c>
      <c r="B39" s="9" t="s">
        <v>11</v>
      </c>
      <c r="C39" s="12"/>
      <c r="D39" s="12"/>
    </row>
    <row r="40" spans="1:4" ht="15" customHeight="1">
      <c r="A40" s="48" t="s">
        <v>630</v>
      </c>
      <c r="B40" s="9" t="s">
        <v>11</v>
      </c>
      <c r="C40" s="12"/>
      <c r="D40" s="12"/>
    </row>
    <row r="41" spans="1:4" ht="15" customHeight="1">
      <c r="A41" s="48" t="s">
        <v>631</v>
      </c>
      <c r="B41" s="9" t="s">
        <v>11</v>
      </c>
      <c r="C41" s="12"/>
      <c r="D41" s="12"/>
    </row>
    <row r="42" spans="1:4" s="23" customFormat="1" ht="15" customHeight="1">
      <c r="A42" s="42" t="s">
        <v>677</v>
      </c>
      <c r="B42" s="49" t="s">
        <v>238</v>
      </c>
      <c r="C42" s="10">
        <f>SUM(C43:C50)</f>
        <v>26102494</v>
      </c>
      <c r="D42" s="10">
        <f>SUM(D43:D50)</f>
        <v>420178453</v>
      </c>
    </row>
    <row r="43" spans="1:4" ht="15" customHeight="1">
      <c r="A43" s="48" t="s">
        <v>632</v>
      </c>
      <c r="B43" s="9" t="s">
        <v>11</v>
      </c>
      <c r="C43" s="12">
        <v>26102494</v>
      </c>
      <c r="D43" s="12">
        <f>420178453-D45</f>
        <v>125675353</v>
      </c>
    </row>
    <row r="44" spans="1:4" ht="15" customHeight="1">
      <c r="A44" s="48" t="s">
        <v>633</v>
      </c>
      <c r="B44" s="9" t="s">
        <v>11</v>
      </c>
      <c r="C44" s="12"/>
      <c r="D44" s="12"/>
    </row>
    <row r="45" spans="1:4" ht="15" customHeight="1">
      <c r="A45" s="48" t="s">
        <v>634</v>
      </c>
      <c r="B45" s="9" t="s">
        <v>11</v>
      </c>
      <c r="C45" s="12"/>
      <c r="D45" s="12">
        <v>294503100</v>
      </c>
    </row>
    <row r="46" spans="1:4" ht="15" customHeight="1">
      <c r="A46" s="48" t="s">
        <v>635</v>
      </c>
      <c r="B46" s="9" t="s">
        <v>11</v>
      </c>
      <c r="C46" s="12"/>
      <c r="D46" s="12"/>
    </row>
    <row r="47" spans="1:4" ht="15" customHeight="1">
      <c r="A47" s="48" t="s">
        <v>636</v>
      </c>
      <c r="B47" s="9" t="s">
        <v>11</v>
      </c>
      <c r="C47" s="12"/>
      <c r="D47" s="12"/>
    </row>
    <row r="48" spans="1:4" ht="15" customHeight="1">
      <c r="A48" s="48" t="s">
        <v>637</v>
      </c>
      <c r="B48" s="9" t="s">
        <v>11</v>
      </c>
      <c r="C48" s="12"/>
      <c r="D48" s="12"/>
    </row>
    <row r="49" spans="1:4" ht="15" customHeight="1">
      <c r="A49" s="48" t="s">
        <v>638</v>
      </c>
      <c r="B49" s="9" t="s">
        <v>11</v>
      </c>
      <c r="C49" s="12"/>
      <c r="D49" s="12"/>
    </row>
    <row r="50" spans="1:4" ht="15" customHeight="1">
      <c r="A50" s="48" t="s">
        <v>639</v>
      </c>
      <c r="B50" s="9" t="s">
        <v>11</v>
      </c>
      <c r="C50" s="12"/>
      <c r="D50" s="12"/>
    </row>
    <row r="51" spans="1:4" s="23" customFormat="1" ht="15" customHeight="1">
      <c r="A51" s="42" t="s">
        <v>678</v>
      </c>
      <c r="B51" s="49" t="s">
        <v>241</v>
      </c>
      <c r="C51" s="10">
        <f>SUM(C52:C59)</f>
        <v>157908905</v>
      </c>
      <c r="D51" s="10">
        <f>SUM(D52:D59)</f>
        <v>2692696082</v>
      </c>
    </row>
    <row r="52" spans="1:4" ht="15" customHeight="1">
      <c r="A52" s="48" t="s">
        <v>640</v>
      </c>
      <c r="B52" s="9" t="s">
        <v>11</v>
      </c>
      <c r="C52" s="12">
        <v>157908905</v>
      </c>
      <c r="D52" s="12">
        <v>2692687239</v>
      </c>
    </row>
    <row r="53" spans="1:4" ht="15" customHeight="1">
      <c r="A53" s="48" t="s">
        <v>641</v>
      </c>
      <c r="B53" s="9" t="s">
        <v>11</v>
      </c>
      <c r="C53" s="12"/>
      <c r="D53" s="12"/>
    </row>
    <row r="54" spans="1:4" ht="15" customHeight="1">
      <c r="A54" s="48" t="s">
        <v>642</v>
      </c>
      <c r="B54" s="9" t="s">
        <v>11</v>
      </c>
      <c r="C54" s="12"/>
      <c r="D54" s="12"/>
    </row>
    <row r="55" spans="1:4" ht="15" customHeight="1">
      <c r="A55" s="48" t="s">
        <v>643</v>
      </c>
      <c r="B55" s="9" t="s">
        <v>11</v>
      </c>
      <c r="C55" s="12"/>
      <c r="D55" s="12"/>
    </row>
    <row r="56" spans="1:4" ht="15" customHeight="1">
      <c r="A56" s="48" t="s">
        <v>644</v>
      </c>
      <c r="B56" s="9" t="s">
        <v>11</v>
      </c>
      <c r="C56" s="12"/>
      <c r="D56" s="12"/>
    </row>
    <row r="57" spans="1:4" ht="15" customHeight="1">
      <c r="A57" s="48" t="s">
        <v>645</v>
      </c>
      <c r="B57" s="9" t="s">
        <v>11</v>
      </c>
      <c r="C57" s="12"/>
      <c r="D57" s="12"/>
    </row>
    <row r="58" spans="1:4" ht="15" customHeight="1">
      <c r="A58" s="48" t="s">
        <v>646</v>
      </c>
      <c r="B58" s="9" t="s">
        <v>11</v>
      </c>
      <c r="C58" s="12"/>
      <c r="D58" s="12"/>
    </row>
    <row r="59" spans="1:4" ht="15" customHeight="1">
      <c r="A59" s="48" t="s">
        <v>647</v>
      </c>
      <c r="B59" s="9" t="s">
        <v>11</v>
      </c>
      <c r="C59" s="12"/>
      <c r="D59" s="12">
        <v>8843</v>
      </c>
    </row>
    <row r="60" spans="1:4" s="23" customFormat="1" ht="15" customHeight="1">
      <c r="A60" s="42" t="s">
        <v>679</v>
      </c>
      <c r="B60" s="49" t="s">
        <v>261</v>
      </c>
      <c r="C60" s="10"/>
      <c r="D60" s="10"/>
    </row>
    <row r="61" spans="1:4" ht="15" customHeight="1">
      <c r="A61" s="48" t="s">
        <v>648</v>
      </c>
      <c r="B61" s="9" t="s">
        <v>11</v>
      </c>
      <c r="C61" s="12">
        <v>738052198</v>
      </c>
      <c r="D61" s="12">
        <v>2148637167</v>
      </c>
    </row>
    <row r="62" spans="1:4" ht="15" customHeight="1">
      <c r="A62" s="48" t="s">
        <v>649</v>
      </c>
      <c r="B62" s="9" t="s">
        <v>11</v>
      </c>
      <c r="C62" s="12"/>
      <c r="D62" s="12"/>
    </row>
    <row r="63" spans="1:4" s="23" customFormat="1" ht="15" customHeight="1">
      <c r="A63" s="42" t="s">
        <v>680</v>
      </c>
      <c r="B63" s="49" t="s">
        <v>264</v>
      </c>
      <c r="C63" s="10"/>
      <c r="D63" s="10"/>
    </row>
    <row r="64" spans="1:4" ht="15" customHeight="1">
      <c r="A64" s="48" t="s">
        <v>650</v>
      </c>
      <c r="B64" s="9" t="s">
        <v>11</v>
      </c>
      <c r="C64" s="12"/>
      <c r="D64" s="12"/>
    </row>
    <row r="65" spans="1:4" ht="15" customHeight="1">
      <c r="A65" s="48" t="s">
        <v>651</v>
      </c>
      <c r="B65" s="9" t="s">
        <v>11</v>
      </c>
      <c r="C65" s="12"/>
      <c r="D65" s="12"/>
    </row>
    <row r="66" spans="1:4" ht="15" customHeight="1">
      <c r="A66" s="48" t="s">
        <v>652</v>
      </c>
      <c r="B66" s="9" t="s">
        <v>11</v>
      </c>
      <c r="C66" s="12"/>
      <c r="D66" s="12"/>
    </row>
    <row r="67" spans="1:4" ht="15" customHeight="1">
      <c r="A67" s="48" t="s">
        <v>654</v>
      </c>
      <c r="B67" s="9" t="s">
        <v>11</v>
      </c>
      <c r="C67" s="12"/>
      <c r="D67" s="12"/>
    </row>
    <row r="68" spans="1:4" ht="15" customHeight="1">
      <c r="A68" s="57" t="s">
        <v>653</v>
      </c>
      <c r="B68" s="17" t="s">
        <v>11</v>
      </c>
      <c r="C68" s="18"/>
      <c r="D68" s="18"/>
    </row>
    <row r="70" spans="1:4" ht="15">
      <c r="A70" s="34"/>
      <c r="B70" s="34"/>
      <c r="C70" s="34"/>
      <c r="D70" s="71"/>
    </row>
    <row r="71" spans="1:4" ht="15">
      <c r="A71" s="34"/>
      <c r="B71" s="34"/>
      <c r="C71" s="34"/>
      <c r="D71" s="71"/>
    </row>
    <row r="72" spans="1:4" ht="15">
      <c r="A72" s="34"/>
      <c r="B72" s="34"/>
      <c r="C72" s="34"/>
      <c r="D72" s="71"/>
    </row>
    <row r="73" spans="1:4" ht="15">
      <c r="A73" s="34"/>
      <c r="B73" s="34"/>
      <c r="C73" s="34"/>
      <c r="D73" s="71"/>
    </row>
    <row r="74" spans="1:4" ht="15">
      <c r="A74" s="136"/>
      <c r="B74" s="136"/>
      <c r="C74" s="136"/>
      <c r="D74" s="72"/>
    </row>
  </sheetData>
  <sheetProtection/>
  <mergeCells count="2">
    <mergeCell ref="A74:C74"/>
    <mergeCell ref="C2:D2"/>
  </mergeCells>
  <printOptions/>
  <pageMargins left="0.5" right="0.2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61.140625" style="21" customWidth="1"/>
    <col min="2" max="2" width="6.140625" style="21" customWidth="1"/>
    <col min="3" max="3" width="7.28125" style="21" customWidth="1"/>
    <col min="4" max="4" width="14.8515625" style="21" customWidth="1"/>
    <col min="5" max="5" width="14.421875" style="21" customWidth="1"/>
    <col min="6" max="16384" width="9.140625" style="21" customWidth="1"/>
  </cols>
  <sheetData>
    <row r="1" spans="1:5" ht="15">
      <c r="A1" s="37" t="s">
        <v>0</v>
      </c>
      <c r="D1" s="119" t="s">
        <v>281</v>
      </c>
      <c r="E1" s="119"/>
    </row>
    <row r="2" ht="14.25">
      <c r="A2" s="19" t="s">
        <v>681</v>
      </c>
    </row>
    <row r="4" spans="1:5" ht="18.75">
      <c r="A4" s="117" t="s">
        <v>220</v>
      </c>
      <c r="B4" s="117"/>
      <c r="C4" s="117"/>
      <c r="D4" s="117"/>
      <c r="E4" s="117"/>
    </row>
    <row r="5" spans="1:5" ht="15.75">
      <c r="A5" s="118" t="s">
        <v>693</v>
      </c>
      <c r="B5" s="118"/>
      <c r="C5" s="118"/>
      <c r="D5" s="118"/>
      <c r="E5" s="118"/>
    </row>
    <row r="6" spans="1:5" ht="15">
      <c r="A6" s="1"/>
      <c r="B6" s="1"/>
      <c r="C6" s="1"/>
      <c r="D6" s="1"/>
      <c r="E6" s="34" t="s">
        <v>2</v>
      </c>
    </row>
    <row r="7" spans="1:5" s="23" customFormat="1" ht="34.5" customHeight="1">
      <c r="A7" s="22" t="s">
        <v>221</v>
      </c>
      <c r="B7" s="22" t="s">
        <v>4</v>
      </c>
      <c r="C7" s="22" t="s">
        <v>5</v>
      </c>
      <c r="D7" s="22" t="s">
        <v>222</v>
      </c>
      <c r="E7" s="22" t="s">
        <v>223</v>
      </c>
    </row>
    <row r="8" spans="1:5" s="23" customFormat="1" ht="14.25">
      <c r="A8" s="22">
        <v>1</v>
      </c>
      <c r="B8" s="22">
        <v>2</v>
      </c>
      <c r="C8" s="22">
        <v>3</v>
      </c>
      <c r="D8" s="22">
        <v>4</v>
      </c>
      <c r="E8" s="22">
        <v>5</v>
      </c>
    </row>
    <row r="9" spans="1:5" ht="15" customHeight="1">
      <c r="A9" s="24" t="s">
        <v>224</v>
      </c>
      <c r="B9" s="25" t="s">
        <v>225</v>
      </c>
      <c r="C9" s="25" t="s">
        <v>226</v>
      </c>
      <c r="D9" s="26">
        <v>528561165241</v>
      </c>
      <c r="E9" s="26">
        <v>446564685142</v>
      </c>
    </row>
    <row r="10" spans="1:5" ht="15" customHeight="1">
      <c r="A10" s="27" t="s">
        <v>227</v>
      </c>
      <c r="B10" s="28" t="s">
        <v>228</v>
      </c>
      <c r="C10" s="28" t="s">
        <v>229</v>
      </c>
      <c r="D10" s="29"/>
      <c r="E10" s="29"/>
    </row>
    <row r="11" spans="1:5" ht="15" customHeight="1">
      <c r="A11" s="30" t="s">
        <v>277</v>
      </c>
      <c r="B11" s="28" t="s">
        <v>230</v>
      </c>
      <c r="C11" s="28" t="s">
        <v>231</v>
      </c>
      <c r="D11" s="29">
        <v>528561165241</v>
      </c>
      <c r="E11" s="29">
        <v>446564685142</v>
      </c>
    </row>
    <row r="12" spans="1:5" ht="15" customHeight="1">
      <c r="A12" s="27" t="s">
        <v>232</v>
      </c>
      <c r="B12" s="28" t="s">
        <v>233</v>
      </c>
      <c r="C12" s="28" t="s">
        <v>234</v>
      </c>
      <c r="D12" s="29">
        <v>503154550580</v>
      </c>
      <c r="E12" s="29">
        <v>426219229654</v>
      </c>
    </row>
    <row r="13" spans="1:5" ht="15" customHeight="1">
      <c r="A13" s="30" t="s">
        <v>278</v>
      </c>
      <c r="B13" s="28" t="s">
        <v>235</v>
      </c>
      <c r="C13" s="28" t="s">
        <v>11</v>
      </c>
      <c r="D13" s="29">
        <f>D11-D12</f>
        <v>25406614661</v>
      </c>
      <c r="E13" s="29">
        <f>E11-E12</f>
        <v>20345455488</v>
      </c>
    </row>
    <row r="14" spans="1:5" ht="15" customHeight="1">
      <c r="A14" s="27" t="s">
        <v>236</v>
      </c>
      <c r="B14" s="28" t="s">
        <v>237</v>
      </c>
      <c r="C14" s="28" t="s">
        <v>238</v>
      </c>
      <c r="D14" s="29">
        <v>420178453</v>
      </c>
      <c r="E14" s="29">
        <v>319399160</v>
      </c>
    </row>
    <row r="15" spans="1:5" ht="15" customHeight="1">
      <c r="A15" s="27" t="s">
        <v>239</v>
      </c>
      <c r="B15" s="28" t="s">
        <v>240</v>
      </c>
      <c r="C15" s="28" t="s">
        <v>241</v>
      </c>
      <c r="D15" s="29">
        <v>2692696082</v>
      </c>
      <c r="E15" s="29">
        <v>3258821244</v>
      </c>
    </row>
    <row r="16" spans="1:5" ht="15" customHeight="1">
      <c r="A16" s="27" t="s">
        <v>242</v>
      </c>
      <c r="B16" s="28" t="s">
        <v>243</v>
      </c>
      <c r="C16" s="28" t="s">
        <v>11</v>
      </c>
      <c r="D16" s="29">
        <v>2692696082</v>
      </c>
      <c r="E16" s="29">
        <v>2965175244</v>
      </c>
    </row>
    <row r="17" spans="1:5" ht="15" customHeight="1">
      <c r="A17" s="27" t="s">
        <v>244</v>
      </c>
      <c r="B17" s="28" t="s">
        <v>245</v>
      </c>
      <c r="C17" s="28" t="s">
        <v>11</v>
      </c>
      <c r="D17" s="29">
        <v>9326027774</v>
      </c>
      <c r="E17" s="29">
        <v>5583293815</v>
      </c>
    </row>
    <row r="18" spans="1:5" ht="15" customHeight="1">
      <c r="A18" s="27" t="s">
        <v>246</v>
      </c>
      <c r="B18" s="28" t="s">
        <v>247</v>
      </c>
      <c r="C18" s="28" t="s">
        <v>11</v>
      </c>
      <c r="D18" s="29">
        <f>4987373327</f>
        <v>4987373327</v>
      </c>
      <c r="E18" s="29">
        <v>5233937195</v>
      </c>
    </row>
    <row r="19" spans="1:5" ht="15" customHeight="1">
      <c r="A19" s="30" t="s">
        <v>248</v>
      </c>
      <c r="B19" s="28" t="s">
        <v>249</v>
      </c>
      <c r="C19" s="28" t="s">
        <v>11</v>
      </c>
      <c r="D19" s="29">
        <f>D13+D14-D15-D17-D18</f>
        <v>8820695931</v>
      </c>
      <c r="E19" s="29">
        <f>E13+E14-E15-E17-E18</f>
        <v>6588802394</v>
      </c>
    </row>
    <row r="20" spans="1:5" ht="15" customHeight="1">
      <c r="A20" s="27" t="s">
        <v>250</v>
      </c>
      <c r="B20" s="28" t="s">
        <v>251</v>
      </c>
      <c r="C20" s="28" t="s">
        <v>11</v>
      </c>
      <c r="D20" s="29">
        <v>230922702</v>
      </c>
      <c r="E20" s="29">
        <v>142840612</v>
      </c>
    </row>
    <row r="21" spans="1:5" ht="15" customHeight="1">
      <c r="A21" s="27" t="s">
        <v>252</v>
      </c>
      <c r="B21" s="28" t="s">
        <v>253</v>
      </c>
      <c r="C21" s="28" t="s">
        <v>11</v>
      </c>
      <c r="D21" s="29">
        <v>294847865</v>
      </c>
      <c r="E21" s="29">
        <v>26860315</v>
      </c>
    </row>
    <row r="22" spans="1:5" ht="15" customHeight="1">
      <c r="A22" s="27" t="s">
        <v>254</v>
      </c>
      <c r="B22" s="28" t="s">
        <v>255</v>
      </c>
      <c r="C22" s="28" t="s">
        <v>11</v>
      </c>
      <c r="D22" s="29">
        <f>D20-D21</f>
        <v>-63925163</v>
      </c>
      <c r="E22" s="29">
        <f>E20-E21</f>
        <v>115980297</v>
      </c>
    </row>
    <row r="23" spans="1:5" ht="15" customHeight="1">
      <c r="A23" s="27" t="s">
        <v>256</v>
      </c>
      <c r="B23" s="28">
        <v>45</v>
      </c>
      <c r="C23" s="28"/>
      <c r="D23" s="29"/>
      <c r="E23" s="29"/>
    </row>
    <row r="24" spans="1:5" ht="15" customHeight="1">
      <c r="A24" s="30" t="s">
        <v>257</v>
      </c>
      <c r="B24" s="28" t="s">
        <v>258</v>
      </c>
      <c r="C24" s="28" t="s">
        <v>11</v>
      </c>
      <c r="D24" s="29">
        <f>D19+D22+D23</f>
        <v>8756770768</v>
      </c>
      <c r="E24" s="29">
        <f>E19+E22+E23</f>
        <v>6704782691</v>
      </c>
    </row>
    <row r="25" spans="1:5" ht="15" customHeight="1">
      <c r="A25" s="27" t="s">
        <v>259</v>
      </c>
      <c r="B25" s="28" t="s">
        <v>260</v>
      </c>
      <c r="C25" s="28" t="s">
        <v>261</v>
      </c>
      <c r="D25" s="29">
        <v>2148637167</v>
      </c>
      <c r="E25" s="29">
        <v>926415359</v>
      </c>
    </row>
    <row r="26" spans="1:5" ht="15" customHeight="1">
      <c r="A26" s="27" t="s">
        <v>262</v>
      </c>
      <c r="B26" s="28" t="s">
        <v>263</v>
      </c>
      <c r="C26" s="28" t="s">
        <v>264</v>
      </c>
      <c r="D26" s="29"/>
      <c r="E26" s="29"/>
    </row>
    <row r="27" spans="1:5" ht="15" customHeight="1">
      <c r="A27" s="30" t="s">
        <v>279</v>
      </c>
      <c r="B27" s="28" t="s">
        <v>265</v>
      </c>
      <c r="C27" s="28" t="s">
        <v>11</v>
      </c>
      <c r="D27" s="29">
        <f>D24-D25</f>
        <v>6608133601</v>
      </c>
      <c r="E27" s="29">
        <f>E24-E25</f>
        <v>5778367332</v>
      </c>
    </row>
    <row r="28" spans="1:5" ht="15" customHeight="1">
      <c r="A28" s="31" t="s">
        <v>266</v>
      </c>
      <c r="B28" s="32" t="s">
        <v>267</v>
      </c>
      <c r="C28" s="32" t="s">
        <v>11</v>
      </c>
      <c r="D28" s="33"/>
      <c r="E28" s="33"/>
    </row>
    <row r="29" ht="15" customHeight="1"/>
    <row r="30" spans="3:5" ht="15" customHeight="1">
      <c r="C30" s="119" t="s">
        <v>692</v>
      </c>
      <c r="D30" s="119"/>
      <c r="E30" s="119"/>
    </row>
    <row r="31" spans="1:5" ht="15" customHeight="1">
      <c r="A31" s="120" t="s">
        <v>270</v>
      </c>
      <c r="B31" s="120"/>
      <c r="C31" s="120" t="s">
        <v>268</v>
      </c>
      <c r="D31" s="120"/>
      <c r="E31" s="120"/>
    </row>
    <row r="32" spans="1:5" ht="15" customHeight="1">
      <c r="A32" s="36" t="s">
        <v>280</v>
      </c>
      <c r="C32" s="119" t="s">
        <v>269</v>
      </c>
      <c r="D32" s="119"/>
      <c r="E32" s="119"/>
    </row>
    <row r="33" ht="15" customHeight="1"/>
    <row r="34" ht="15" customHeight="1">
      <c r="D34" s="84"/>
    </row>
    <row r="35" ht="15" customHeight="1"/>
    <row r="36" ht="15" customHeight="1"/>
    <row r="37" ht="15" customHeight="1"/>
  </sheetData>
  <sheetProtection/>
  <mergeCells count="7">
    <mergeCell ref="D1:E1"/>
    <mergeCell ref="C30:E30"/>
    <mergeCell ref="C31:E31"/>
    <mergeCell ref="C32:E32"/>
    <mergeCell ref="A4:E4"/>
    <mergeCell ref="A5:E5"/>
    <mergeCell ref="A31:B31"/>
  </mergeCells>
  <printOptions/>
  <pageMargins left="0.25" right="0.2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E56" sqref="E56"/>
    </sheetView>
  </sheetViews>
  <sheetFormatPr defaultColWidth="9.140625" defaultRowHeight="12.75"/>
  <cols>
    <col min="1" max="1" width="60.140625" style="0" customWidth="1"/>
    <col min="2" max="2" width="10.140625" style="0" customWidth="1"/>
    <col min="3" max="3" width="10.00390625" style="0" customWidth="1"/>
    <col min="4" max="4" width="21.140625" style="0" customWidth="1"/>
    <col min="5" max="5" width="20.8515625" style="0" customWidth="1"/>
  </cols>
  <sheetData>
    <row r="1" spans="1:5" ht="15">
      <c r="A1" s="37" t="s">
        <v>0</v>
      </c>
      <c r="D1" s="119" t="s">
        <v>696</v>
      </c>
      <c r="E1" s="119"/>
    </row>
    <row r="2" spans="1:5" ht="15.75">
      <c r="A2" s="19" t="s">
        <v>697</v>
      </c>
      <c r="B2" s="91"/>
      <c r="C2" s="91"/>
      <c r="D2" s="122"/>
      <c r="E2" s="122"/>
    </row>
    <row r="3" spans="1:5" ht="18.75">
      <c r="A3" s="123" t="s">
        <v>698</v>
      </c>
      <c r="B3" s="123"/>
      <c r="C3" s="123"/>
      <c r="D3" s="123"/>
      <c r="E3" s="123"/>
    </row>
    <row r="4" spans="1:5" ht="15">
      <c r="A4" s="124" t="s">
        <v>699</v>
      </c>
      <c r="B4" s="124"/>
      <c r="C4" s="124"/>
      <c r="D4" s="124"/>
      <c r="E4" s="124"/>
    </row>
    <row r="5" spans="1:5" ht="20.25">
      <c r="A5" s="125" t="s">
        <v>751</v>
      </c>
      <c r="B5" s="126"/>
      <c r="C5" s="126"/>
      <c r="D5" s="126"/>
      <c r="E5" s="126"/>
    </row>
    <row r="6" spans="1:5" ht="15.75">
      <c r="A6" s="92"/>
      <c r="B6" s="93"/>
      <c r="C6" s="93"/>
      <c r="D6" s="93"/>
      <c r="E6" s="34" t="s">
        <v>2</v>
      </c>
    </row>
    <row r="7" spans="1:5" ht="28.5">
      <c r="A7" s="39" t="s">
        <v>221</v>
      </c>
      <c r="B7" s="39" t="s">
        <v>4</v>
      </c>
      <c r="C7" s="39" t="s">
        <v>5</v>
      </c>
      <c r="D7" s="39" t="s">
        <v>222</v>
      </c>
      <c r="E7" s="39" t="s">
        <v>223</v>
      </c>
    </row>
    <row r="8" spans="1:5" ht="14.25">
      <c r="A8" s="40">
        <v>1</v>
      </c>
      <c r="B8" s="94">
        <v>2</v>
      </c>
      <c r="C8" s="94">
        <v>3</v>
      </c>
      <c r="D8" s="95">
        <v>4</v>
      </c>
      <c r="E8" s="95">
        <v>5</v>
      </c>
    </row>
    <row r="9" spans="1:5" ht="15">
      <c r="A9" s="96" t="s">
        <v>700</v>
      </c>
      <c r="B9" s="97"/>
      <c r="C9" s="98"/>
      <c r="D9" s="99"/>
      <c r="E9" s="99"/>
    </row>
    <row r="10" spans="1:5" ht="15">
      <c r="A10" s="100" t="s">
        <v>701</v>
      </c>
      <c r="B10" s="101" t="s">
        <v>225</v>
      </c>
      <c r="C10" s="102"/>
      <c r="D10" s="89">
        <f>247866496+472455162+2231887135</f>
        <v>2952208793</v>
      </c>
      <c r="E10" s="89">
        <v>8756770768</v>
      </c>
    </row>
    <row r="11" spans="1:5" ht="15">
      <c r="A11" s="100" t="s">
        <v>702</v>
      </c>
      <c r="B11" s="101"/>
      <c r="C11" s="102"/>
      <c r="D11" s="90"/>
      <c r="E11" s="90"/>
    </row>
    <row r="12" spans="1:5" ht="15">
      <c r="A12" s="48" t="s">
        <v>703</v>
      </c>
      <c r="B12" s="103" t="s">
        <v>228</v>
      </c>
      <c r="C12" s="104"/>
      <c r="D12" s="105">
        <v>3027545834</v>
      </c>
      <c r="E12" s="105">
        <v>16762788222</v>
      </c>
    </row>
    <row r="13" spans="1:5" ht="15">
      <c r="A13" s="48" t="s">
        <v>704</v>
      </c>
      <c r="B13" s="103" t="s">
        <v>705</v>
      </c>
      <c r="C13" s="104"/>
      <c r="D13" s="105"/>
      <c r="E13" s="105">
        <f>(-370466656-(-312065481)+321723547-224000000)</f>
        <v>39322372</v>
      </c>
    </row>
    <row r="14" spans="1:5" ht="15">
      <c r="A14" s="48" t="s">
        <v>706</v>
      </c>
      <c r="B14" s="103" t="s">
        <v>707</v>
      </c>
      <c r="C14" s="104"/>
      <c r="D14" s="105"/>
      <c r="E14" s="105"/>
    </row>
    <row r="15" spans="1:5" ht="15">
      <c r="A15" s="48" t="s">
        <v>708</v>
      </c>
      <c r="B15" s="103" t="s">
        <v>709</v>
      </c>
      <c r="C15" s="104"/>
      <c r="D15" s="105">
        <f>-(20454861+4391700+1232700)</f>
        <v>-26079261</v>
      </c>
      <c r="E15" s="105">
        <v>-371453835</v>
      </c>
    </row>
    <row r="16" spans="1:5" ht="15">
      <c r="A16" s="48" t="s">
        <v>710</v>
      </c>
      <c r="B16" s="103" t="s">
        <v>711</v>
      </c>
      <c r="C16" s="104"/>
      <c r="D16" s="105">
        <f>157908905</f>
        <v>157908905</v>
      </c>
      <c r="E16" s="105">
        <v>2692687239</v>
      </c>
    </row>
    <row r="17" spans="1:5" ht="15">
      <c r="A17" s="100" t="s">
        <v>712</v>
      </c>
      <c r="B17" s="101" t="s">
        <v>713</v>
      </c>
      <c r="C17" s="102"/>
      <c r="D17" s="90">
        <f>SUM(D10:D16)</f>
        <v>6111584271</v>
      </c>
      <c r="E17" s="90">
        <f>SUM(E10:E16)</f>
        <v>27880114766</v>
      </c>
    </row>
    <row r="18" spans="1:5" ht="15">
      <c r="A18" s="48" t="s">
        <v>714</v>
      </c>
      <c r="B18" s="103" t="s">
        <v>715</v>
      </c>
      <c r="C18" s="104"/>
      <c r="D18" s="105">
        <f>-((21431216171-22515804534)+(340028632-194050000)+(1957171997-2418115198)+(22648757-471986071)+(868567249-549415249))+1877195112</f>
        <v>3406933358</v>
      </c>
      <c r="E18" s="105">
        <v>-7876986832</v>
      </c>
    </row>
    <row r="19" spans="1:5" ht="15">
      <c r="A19" s="48" t="s">
        <v>716</v>
      </c>
      <c r="B19" s="103" t="s">
        <v>230</v>
      </c>
      <c r="C19" s="104"/>
      <c r="D19" s="105">
        <f>-5781976709+7171658669</f>
        <v>1389681960</v>
      </c>
      <c r="E19" s="105">
        <f>-(7171658669-2792453986)</f>
        <v>-4379204683</v>
      </c>
    </row>
    <row r="20" spans="1:5" ht="15">
      <c r="A20" s="48" t="s">
        <v>717</v>
      </c>
      <c r="B20" s="103" t="s">
        <v>233</v>
      </c>
      <c r="C20" s="104"/>
      <c r="D20" s="105">
        <f>-(10851401978-7135844996+5732619518+13199759349-9963467260-10860515161)</f>
        <v>-1823953428</v>
      </c>
      <c r="E20" s="105">
        <v>2391121321</v>
      </c>
    </row>
    <row r="21" spans="1:5" ht="15">
      <c r="A21" s="41" t="s">
        <v>718</v>
      </c>
      <c r="B21" s="103"/>
      <c r="C21" s="104"/>
      <c r="D21" s="105"/>
      <c r="E21" s="105"/>
    </row>
    <row r="22" spans="1:5" ht="15">
      <c r="A22" s="48" t="s">
        <v>719</v>
      </c>
      <c r="B22" s="103" t="s">
        <v>471</v>
      </c>
      <c r="C22" s="104"/>
      <c r="D22" s="105">
        <f>-8420714+6970714</f>
        <v>-1450000</v>
      </c>
      <c r="E22" s="105">
        <f>-(12299393-732482136+6970714-6500757)</f>
        <v>719712786</v>
      </c>
    </row>
    <row r="23" spans="1:5" ht="15">
      <c r="A23" s="48" t="s">
        <v>720</v>
      </c>
      <c r="B23" s="103" t="s">
        <v>473</v>
      </c>
      <c r="C23" s="104"/>
      <c r="D23" s="105">
        <f>-(53799789+52474667+120000+56144789+150000000+208000000+61779555+58502217+55800888+11000000)</f>
        <v>-707621905</v>
      </c>
      <c r="E23" s="105">
        <f>-(1710464082-285000000-450000000+982232000-290702000+8843)</f>
        <v>-1667002925</v>
      </c>
    </row>
    <row r="24" spans="1:5" ht="15">
      <c r="A24" s="48" t="s">
        <v>721</v>
      </c>
      <c r="B24" s="103" t="s">
        <v>480</v>
      </c>
      <c r="C24" s="104"/>
      <c r="D24" s="105"/>
      <c r="E24" s="105">
        <v>-1524221846</v>
      </c>
    </row>
    <row r="25" spans="1:5" ht="15">
      <c r="A25" s="48" t="s">
        <v>722</v>
      </c>
      <c r="B25" s="103" t="s">
        <v>489</v>
      </c>
      <c r="C25" s="104"/>
      <c r="D25" s="105"/>
      <c r="E25" s="105"/>
    </row>
    <row r="26" spans="1:5" ht="15">
      <c r="A26" s="48" t="s">
        <v>723</v>
      </c>
      <c r="B26" s="103" t="s">
        <v>491</v>
      </c>
      <c r="C26" s="104"/>
      <c r="D26" s="105"/>
      <c r="E26" s="105">
        <v>-638766789</v>
      </c>
    </row>
    <row r="27" spans="1:5" ht="15">
      <c r="A27" s="100" t="s">
        <v>724</v>
      </c>
      <c r="B27" s="106">
        <v>20</v>
      </c>
      <c r="C27" s="107"/>
      <c r="D27" s="108">
        <f>SUM(D17:D26)</f>
        <v>8375174256</v>
      </c>
      <c r="E27" s="108">
        <f>SUM(E17:E26)</f>
        <v>14904765798</v>
      </c>
    </row>
    <row r="28" spans="1:5" ht="15">
      <c r="A28" s="100"/>
      <c r="B28" s="101"/>
      <c r="C28" s="102"/>
      <c r="D28" s="90"/>
      <c r="E28" s="90"/>
    </row>
    <row r="29" spans="1:5" ht="15">
      <c r="A29" s="42" t="s">
        <v>725</v>
      </c>
      <c r="B29" s="103"/>
      <c r="C29" s="104"/>
      <c r="D29" s="109"/>
      <c r="E29" s="109"/>
    </row>
    <row r="30" spans="1:5" ht="15">
      <c r="A30" s="41" t="s">
        <v>726</v>
      </c>
      <c r="B30" s="103">
        <v>21</v>
      </c>
      <c r="C30" s="104"/>
      <c r="D30" s="105">
        <f>883365000+20000000+3789091</f>
        <v>907154091</v>
      </c>
      <c r="E30" s="105">
        <v>-19470419264</v>
      </c>
    </row>
    <row r="31" spans="1:5" ht="15">
      <c r="A31" s="41" t="s">
        <v>727</v>
      </c>
      <c r="B31" s="103">
        <v>22</v>
      </c>
      <c r="C31" s="104"/>
      <c r="D31" s="105">
        <v>354591818</v>
      </c>
      <c r="E31" s="105">
        <v>215000000</v>
      </c>
    </row>
    <row r="32" spans="1:5" ht="15">
      <c r="A32" s="41" t="s">
        <v>728</v>
      </c>
      <c r="B32" s="103">
        <v>23</v>
      </c>
      <c r="C32" s="104"/>
      <c r="D32" s="105"/>
      <c r="E32" s="105"/>
    </row>
    <row r="33" spans="1:5" ht="15">
      <c r="A33" s="41" t="s">
        <v>729</v>
      </c>
      <c r="B33" s="103">
        <v>24</v>
      </c>
      <c r="C33" s="104"/>
      <c r="D33" s="105"/>
      <c r="E33" s="105"/>
    </row>
    <row r="34" spans="1:5" ht="15">
      <c r="A34" s="41" t="s">
        <v>730</v>
      </c>
      <c r="B34" s="103">
        <v>25</v>
      </c>
      <c r="C34" s="104"/>
      <c r="D34" s="105"/>
      <c r="E34" s="105"/>
    </row>
    <row r="35" spans="1:5" ht="15">
      <c r="A35" s="41" t="s">
        <v>731</v>
      </c>
      <c r="B35" s="103">
        <v>26</v>
      </c>
      <c r="C35" s="104"/>
      <c r="D35" s="105"/>
      <c r="E35" s="105"/>
    </row>
    <row r="36" spans="1:5" ht="15">
      <c r="A36" s="41" t="s">
        <v>732</v>
      </c>
      <c r="B36" s="103">
        <v>27</v>
      </c>
      <c r="C36" s="104"/>
      <c r="D36" s="105"/>
      <c r="E36" s="105">
        <v>416735396</v>
      </c>
    </row>
    <row r="37" spans="1:5" ht="15">
      <c r="A37" s="100" t="s">
        <v>733</v>
      </c>
      <c r="B37" s="106">
        <v>30</v>
      </c>
      <c r="C37" s="107"/>
      <c r="D37" s="110">
        <f>SUM(D30:D36)</f>
        <v>1261745909</v>
      </c>
      <c r="E37" s="110">
        <f>SUM(E30:E36)</f>
        <v>-18838683868</v>
      </c>
    </row>
    <row r="38" spans="1:5" ht="15">
      <c r="A38" s="100"/>
      <c r="B38" s="106"/>
      <c r="C38" s="107"/>
      <c r="D38" s="90"/>
      <c r="E38" s="90"/>
    </row>
    <row r="39" spans="1:5" ht="15">
      <c r="A39" s="42" t="s">
        <v>734</v>
      </c>
      <c r="B39" s="103"/>
      <c r="C39" s="104"/>
      <c r="D39" s="105"/>
      <c r="E39" s="105"/>
    </row>
    <row r="40" spans="1:5" ht="15">
      <c r="A40" s="41" t="s">
        <v>735</v>
      </c>
      <c r="B40" s="103">
        <v>31</v>
      </c>
      <c r="C40" s="104"/>
      <c r="D40" s="105"/>
      <c r="E40" s="105"/>
    </row>
    <row r="41" spans="1:5" ht="15">
      <c r="A41" s="41" t="s">
        <v>736</v>
      </c>
      <c r="B41" s="103">
        <v>32</v>
      </c>
      <c r="C41" s="104"/>
      <c r="D41" s="105"/>
      <c r="E41" s="105"/>
    </row>
    <row r="42" spans="1:5" ht="15">
      <c r="A42" s="41" t="s">
        <v>737</v>
      </c>
      <c r="B42" s="103">
        <v>33</v>
      </c>
      <c r="C42" s="104"/>
      <c r="D42" s="105">
        <v>170000000</v>
      </c>
      <c r="E42" s="105">
        <f>45000000000+18989550000</f>
        <v>63989550000</v>
      </c>
    </row>
    <row r="43" spans="1:5" ht="15">
      <c r="A43" s="41" t="s">
        <v>738</v>
      </c>
      <c r="B43" s="103">
        <v>34</v>
      </c>
      <c r="C43" s="104"/>
      <c r="D43" s="105">
        <f>-688000000-5350000000</f>
        <v>-6038000000</v>
      </c>
      <c r="E43" s="105">
        <f>-47328000000-9748184178</f>
        <v>-57076184178</v>
      </c>
    </row>
    <row r="44" spans="1:5" ht="15">
      <c r="A44" s="41" t="s">
        <v>739</v>
      </c>
      <c r="B44" s="103">
        <v>35</v>
      </c>
      <c r="C44" s="104"/>
      <c r="D44" s="105"/>
      <c r="E44" s="105"/>
    </row>
    <row r="45" spans="1:5" ht="15">
      <c r="A45" s="41" t="s">
        <v>740</v>
      </c>
      <c r="B45" s="103">
        <v>36</v>
      </c>
      <c r="C45" s="104"/>
      <c r="D45" s="105"/>
      <c r="E45" s="105">
        <v>-2033486000</v>
      </c>
    </row>
    <row r="46" spans="1:5" ht="15">
      <c r="A46" s="100" t="s">
        <v>741</v>
      </c>
      <c r="B46" s="106">
        <v>40</v>
      </c>
      <c r="C46" s="107"/>
      <c r="D46" s="110">
        <f>SUM(D40:D45)</f>
        <v>-5868000000</v>
      </c>
      <c r="E46" s="110">
        <f>SUM(E40:E45)</f>
        <v>4879879822</v>
      </c>
    </row>
    <row r="47" spans="1:5" ht="15">
      <c r="A47" s="100"/>
      <c r="B47" s="101"/>
      <c r="C47" s="102"/>
      <c r="D47" s="90"/>
      <c r="E47" s="90"/>
    </row>
    <row r="48" spans="1:5" ht="14.25">
      <c r="A48" s="42" t="s">
        <v>742</v>
      </c>
      <c r="B48" s="106">
        <v>50</v>
      </c>
      <c r="C48" s="107"/>
      <c r="D48" s="110">
        <f>D27+D37+D46</f>
        <v>3768920165</v>
      </c>
      <c r="E48" s="110">
        <f>E27+E37+E46</f>
        <v>945961752</v>
      </c>
    </row>
    <row r="49" spans="1:5" ht="15">
      <c r="A49" s="100" t="s">
        <v>743</v>
      </c>
      <c r="B49" s="103">
        <v>60</v>
      </c>
      <c r="C49" s="104"/>
      <c r="D49" s="110">
        <f>E51</f>
        <v>2957883466</v>
      </c>
      <c r="E49" s="110">
        <v>2011921714</v>
      </c>
    </row>
    <row r="50" spans="1:5" ht="15">
      <c r="A50" s="41" t="s">
        <v>744</v>
      </c>
      <c r="B50" s="103">
        <v>61</v>
      </c>
      <c r="C50" s="104"/>
      <c r="D50" s="105"/>
      <c r="E50" s="105"/>
    </row>
    <row r="51" spans="1:5" ht="15">
      <c r="A51" s="111" t="s">
        <v>745</v>
      </c>
      <c r="B51" s="112">
        <v>70</v>
      </c>
      <c r="C51" s="113" t="s">
        <v>746</v>
      </c>
      <c r="D51" s="114">
        <f>D48+D49+D50</f>
        <v>6726803631</v>
      </c>
      <c r="E51" s="114">
        <f>E48+E49+E50</f>
        <v>2957883466</v>
      </c>
    </row>
    <row r="53" spans="1:5" ht="15">
      <c r="A53" s="21"/>
      <c r="B53" s="21"/>
      <c r="C53" s="119" t="s">
        <v>750</v>
      </c>
      <c r="D53" s="119"/>
      <c r="E53" s="119"/>
    </row>
    <row r="54" spans="1:5" ht="14.25">
      <c r="A54" s="120" t="s">
        <v>270</v>
      </c>
      <c r="B54" s="120"/>
      <c r="C54" s="120" t="s">
        <v>268</v>
      </c>
      <c r="D54" s="120"/>
      <c r="E54" s="120"/>
    </row>
    <row r="55" spans="1:5" ht="15">
      <c r="A55" s="36" t="s">
        <v>747</v>
      </c>
      <c r="B55" s="21"/>
      <c r="C55" s="119" t="s">
        <v>269</v>
      </c>
      <c r="D55" s="119"/>
      <c r="E55" s="119"/>
    </row>
    <row r="56" spans="1:5" ht="15">
      <c r="A56" s="36"/>
      <c r="B56" s="36"/>
      <c r="C56" s="36"/>
      <c r="D56" s="36"/>
      <c r="E56" s="36"/>
    </row>
    <row r="57" spans="1:5" ht="15">
      <c r="A57" s="36"/>
      <c r="B57" s="36"/>
      <c r="C57" s="36"/>
      <c r="D57" s="115"/>
      <c r="E57" s="116"/>
    </row>
  </sheetData>
  <sheetProtection/>
  <mergeCells count="9">
    <mergeCell ref="D1:E1"/>
    <mergeCell ref="D2:E2"/>
    <mergeCell ref="A3:E3"/>
    <mergeCell ref="A4:E4"/>
    <mergeCell ref="C55:E55"/>
    <mergeCell ref="A5:E5"/>
    <mergeCell ref="C53:E53"/>
    <mergeCell ref="A54:B54"/>
    <mergeCell ref="C54:E54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4"/>
  <sheetViews>
    <sheetView zoomScalePageLayoutView="0" workbookViewId="0" topLeftCell="A214">
      <selection activeCell="C167" sqref="C167"/>
    </sheetView>
  </sheetViews>
  <sheetFormatPr defaultColWidth="9.140625" defaultRowHeight="12.75"/>
  <cols>
    <col min="1" max="1" width="57.421875" style="36" customWidth="1"/>
    <col min="2" max="2" width="6.7109375" style="38" customWidth="1"/>
    <col min="3" max="3" width="16.57421875" style="21" customWidth="1"/>
    <col min="4" max="4" width="16.7109375" style="21" customWidth="1"/>
    <col min="5" max="16384" width="9.140625" style="21" customWidth="1"/>
  </cols>
  <sheetData>
    <row r="1" spans="1:4" ht="15" customHeight="1">
      <c r="A1" s="20" t="s">
        <v>282</v>
      </c>
      <c r="D1" s="43"/>
    </row>
    <row r="2" ht="15" customHeight="1">
      <c r="D2" s="34" t="s">
        <v>2</v>
      </c>
    </row>
    <row r="3" spans="1:4" s="36" customFormat="1" ht="15" customHeight="1" hidden="1">
      <c r="A3" s="44"/>
      <c r="B3" s="45"/>
      <c r="C3" s="127" t="s">
        <v>283</v>
      </c>
      <c r="D3" s="127"/>
    </row>
    <row r="4" spans="1:4" s="20" customFormat="1" ht="48.75" customHeight="1">
      <c r="A4" s="39" t="s">
        <v>3</v>
      </c>
      <c r="B4" s="39" t="s">
        <v>284</v>
      </c>
      <c r="C4" s="39" t="s">
        <v>285</v>
      </c>
      <c r="D4" s="39" t="s">
        <v>286</v>
      </c>
    </row>
    <row r="5" spans="1:4" s="20" customFormat="1" ht="15" customHeight="1">
      <c r="A5" s="51">
        <v>1</v>
      </c>
      <c r="B5" s="51">
        <v>2</v>
      </c>
      <c r="C5" s="51">
        <v>3</v>
      </c>
      <c r="D5" s="51">
        <v>4</v>
      </c>
    </row>
    <row r="6" spans="1:4" s="23" customFormat="1" ht="15" customHeight="1">
      <c r="A6" s="46" t="s">
        <v>287</v>
      </c>
      <c r="B6" s="47" t="s">
        <v>16</v>
      </c>
      <c r="C6" s="7">
        <f>C7+C11+C15</f>
        <v>6726803631</v>
      </c>
      <c r="D6" s="7">
        <f>D7+D11+D15</f>
        <v>2957883466</v>
      </c>
    </row>
    <row r="7" spans="1:4" ht="15" customHeight="1">
      <c r="A7" s="48" t="s">
        <v>288</v>
      </c>
      <c r="B7" s="9" t="s">
        <v>11</v>
      </c>
      <c r="C7" s="12">
        <f>C8</f>
        <v>1166960792</v>
      </c>
      <c r="D7" s="12">
        <f>D8</f>
        <v>306170145</v>
      </c>
    </row>
    <row r="8" spans="1:4" ht="15" customHeight="1">
      <c r="A8" s="48" t="s">
        <v>289</v>
      </c>
      <c r="B8" s="9" t="s">
        <v>11</v>
      </c>
      <c r="C8" s="12">
        <f>874527430+77588531+214844831</f>
        <v>1166960792</v>
      </c>
      <c r="D8" s="12">
        <f>210620569+32643798+62905778</f>
        <v>306170145</v>
      </c>
    </row>
    <row r="9" spans="1:4" ht="15" customHeight="1">
      <c r="A9" s="48" t="s">
        <v>290</v>
      </c>
      <c r="B9" s="9" t="s">
        <v>11</v>
      </c>
      <c r="C9" s="12"/>
      <c r="D9" s="12"/>
    </row>
    <row r="10" spans="1:4" ht="15" customHeight="1">
      <c r="A10" s="48" t="s">
        <v>291</v>
      </c>
      <c r="B10" s="9" t="s">
        <v>11</v>
      </c>
      <c r="C10" s="12"/>
      <c r="D10" s="12"/>
    </row>
    <row r="11" spans="1:4" ht="15" customHeight="1">
      <c r="A11" s="48" t="s">
        <v>292</v>
      </c>
      <c r="B11" s="9" t="s">
        <v>11</v>
      </c>
      <c r="C11" s="12">
        <f>C12</f>
        <v>5559842839</v>
      </c>
      <c r="D11" s="12">
        <f>D12</f>
        <v>2651713321</v>
      </c>
    </row>
    <row r="12" spans="1:4" ht="15" customHeight="1">
      <c r="A12" s="48" t="s">
        <v>289</v>
      </c>
      <c r="B12" s="9" t="s">
        <v>11</v>
      </c>
      <c r="C12" s="12">
        <f>6726803631-C8</f>
        <v>5559842839</v>
      </c>
      <c r="D12" s="12">
        <f>2628624148+6760723+16328450</f>
        <v>2651713321</v>
      </c>
    </row>
    <row r="13" spans="1:4" ht="15" customHeight="1">
      <c r="A13" s="48" t="s">
        <v>290</v>
      </c>
      <c r="B13" s="9" t="s">
        <v>11</v>
      </c>
      <c r="C13" s="12"/>
      <c r="D13" s="12"/>
    </row>
    <row r="14" spans="1:4" ht="15" customHeight="1">
      <c r="A14" s="48" t="s">
        <v>291</v>
      </c>
      <c r="B14" s="9" t="s">
        <v>11</v>
      </c>
      <c r="C14" s="12"/>
      <c r="D14" s="12"/>
    </row>
    <row r="15" spans="1:4" ht="15" customHeight="1">
      <c r="A15" s="48" t="s">
        <v>293</v>
      </c>
      <c r="B15" s="9" t="s">
        <v>11</v>
      </c>
      <c r="C15" s="12">
        <f>C16</f>
        <v>0</v>
      </c>
      <c r="D15" s="12">
        <f>D16</f>
        <v>0</v>
      </c>
    </row>
    <row r="16" spans="1:4" ht="15" customHeight="1">
      <c r="A16" s="48" t="s">
        <v>289</v>
      </c>
      <c r="B16" s="9" t="s">
        <v>11</v>
      </c>
      <c r="C16" s="12"/>
      <c r="D16" s="12"/>
    </row>
    <row r="17" spans="1:4" ht="15" customHeight="1">
      <c r="A17" s="48" t="s">
        <v>290</v>
      </c>
      <c r="B17" s="9" t="s">
        <v>11</v>
      </c>
      <c r="C17" s="12"/>
      <c r="D17" s="12"/>
    </row>
    <row r="18" spans="1:4" s="23" customFormat="1" ht="15" customHeight="1">
      <c r="A18" s="42" t="s">
        <v>294</v>
      </c>
      <c r="B18" s="49" t="s">
        <v>21</v>
      </c>
      <c r="C18" s="10">
        <f>SUM(C19:C21)</f>
        <v>60601882</v>
      </c>
      <c r="D18" s="10">
        <f>SUM(D19:D21)</f>
        <v>60487492</v>
      </c>
    </row>
    <row r="19" spans="1:4" ht="15" customHeight="1">
      <c r="A19" s="48" t="s">
        <v>295</v>
      </c>
      <c r="B19" s="9" t="s">
        <v>11</v>
      </c>
      <c r="C19" s="12">
        <v>240247882</v>
      </c>
      <c r="D19" s="12">
        <v>240133492</v>
      </c>
    </row>
    <row r="20" spans="1:4" ht="15" customHeight="1">
      <c r="A20" s="48" t="s">
        <v>296</v>
      </c>
      <c r="B20" s="9" t="s">
        <v>11</v>
      </c>
      <c r="C20" s="12"/>
      <c r="D20" s="12"/>
    </row>
    <row r="21" spans="1:4" ht="15" customHeight="1">
      <c r="A21" s="48" t="s">
        <v>297</v>
      </c>
      <c r="B21" s="9" t="s">
        <v>11</v>
      </c>
      <c r="C21" s="76">
        <v>-179646000</v>
      </c>
      <c r="D21" s="76">
        <v>-179646000</v>
      </c>
    </row>
    <row r="22" spans="1:4" s="23" customFormat="1" ht="15" customHeight="1">
      <c r="A22" s="42" t="s">
        <v>298</v>
      </c>
      <c r="B22" s="49" t="s">
        <v>34</v>
      </c>
      <c r="C22" s="12"/>
      <c r="D22" s="12"/>
    </row>
    <row r="23" spans="1:4" ht="15" customHeight="1">
      <c r="A23" s="48" t="s">
        <v>299</v>
      </c>
      <c r="B23" s="9" t="s">
        <v>11</v>
      </c>
      <c r="C23" s="12"/>
      <c r="D23" s="12"/>
    </row>
    <row r="24" spans="1:4" ht="15" customHeight="1">
      <c r="A24" s="48" t="s">
        <v>300</v>
      </c>
      <c r="B24" s="9" t="s">
        <v>11</v>
      </c>
      <c r="C24" s="12"/>
      <c r="D24" s="12"/>
    </row>
    <row r="25" spans="1:4" s="23" customFormat="1" ht="15" customHeight="1">
      <c r="A25" s="42" t="s">
        <v>301</v>
      </c>
      <c r="B25" s="49" t="s">
        <v>39</v>
      </c>
      <c r="C25" s="10">
        <f>SUM(C26:C29)</f>
        <v>1957171997</v>
      </c>
      <c r="D25" s="10">
        <f>SUM(D26:D29)</f>
        <v>2418115198</v>
      </c>
    </row>
    <row r="26" spans="1:4" ht="15" customHeight="1">
      <c r="A26" s="48" t="s">
        <v>302</v>
      </c>
      <c r="B26" s="9" t="s">
        <v>11</v>
      </c>
      <c r="C26" s="12"/>
      <c r="D26" s="12"/>
    </row>
    <row r="27" spans="1:4" ht="15" customHeight="1">
      <c r="A27" s="48" t="s">
        <v>303</v>
      </c>
      <c r="B27" s="9" t="s">
        <v>11</v>
      </c>
      <c r="C27" s="12"/>
      <c r="D27" s="12"/>
    </row>
    <row r="28" spans="1:4" ht="15" customHeight="1">
      <c r="A28" s="48" t="s">
        <v>304</v>
      </c>
      <c r="B28" s="9" t="s">
        <v>11</v>
      </c>
      <c r="C28" s="12"/>
      <c r="D28" s="12"/>
    </row>
    <row r="29" spans="1:4" ht="15" customHeight="1">
      <c r="A29" s="48" t="s">
        <v>305</v>
      </c>
      <c r="B29" s="9" t="s">
        <v>11</v>
      </c>
      <c r="C29" s="12">
        <v>1957171997</v>
      </c>
      <c r="D29" s="12">
        <v>2418115198</v>
      </c>
    </row>
    <row r="30" spans="1:4" s="23" customFormat="1" ht="15" customHeight="1">
      <c r="A30" s="42" t="s">
        <v>306</v>
      </c>
      <c r="B30" s="49" t="s">
        <v>46</v>
      </c>
      <c r="C30" s="10">
        <f>C31+C34+C35+C38+C39+C40+C45+C48+C49</f>
        <v>5781976709</v>
      </c>
      <c r="D30" s="10">
        <f>D31+D34+D35+D38+D39+D40+D45+D48+D49</f>
        <v>7171658669</v>
      </c>
    </row>
    <row r="31" spans="1:4" ht="15" customHeight="1">
      <c r="A31" s="48" t="s">
        <v>307</v>
      </c>
      <c r="B31" s="9" t="s">
        <v>11</v>
      </c>
      <c r="C31" s="12"/>
      <c r="D31" s="12"/>
    </row>
    <row r="32" spans="1:4" ht="15" customHeight="1">
      <c r="A32" s="48" t="s">
        <v>308</v>
      </c>
      <c r="B32" s="9" t="s">
        <v>11</v>
      </c>
      <c r="C32" s="12"/>
      <c r="D32" s="12"/>
    </row>
    <row r="33" spans="1:4" ht="15" customHeight="1">
      <c r="A33" s="48" t="s">
        <v>309</v>
      </c>
      <c r="B33" s="9" t="s">
        <v>11</v>
      </c>
      <c r="C33" s="12"/>
      <c r="D33" s="12"/>
    </row>
    <row r="34" spans="1:4" ht="15" customHeight="1">
      <c r="A34" s="48" t="s">
        <v>310</v>
      </c>
      <c r="B34" s="9" t="s">
        <v>11</v>
      </c>
      <c r="C34" s="12">
        <f>1653376343+225000</f>
        <v>1653601343</v>
      </c>
      <c r="D34" s="12">
        <f>1732954145+225000</f>
        <v>1733179145</v>
      </c>
    </row>
    <row r="35" spans="1:4" ht="15" customHeight="1">
      <c r="A35" s="48" t="s">
        <v>311</v>
      </c>
      <c r="B35" s="9" t="s">
        <v>11</v>
      </c>
      <c r="C35" s="12">
        <f>41572500</f>
        <v>41572500</v>
      </c>
      <c r="D35" s="12">
        <f>40747500</f>
        <v>40747500</v>
      </c>
    </row>
    <row r="36" spans="1:4" ht="15" customHeight="1">
      <c r="A36" s="48" t="s">
        <v>312</v>
      </c>
      <c r="B36" s="9" t="s">
        <v>11</v>
      </c>
      <c r="C36" s="12"/>
      <c r="D36" s="12"/>
    </row>
    <row r="37" spans="1:4" ht="15" customHeight="1">
      <c r="A37" s="48" t="s">
        <v>313</v>
      </c>
      <c r="B37" s="9" t="s">
        <v>11</v>
      </c>
      <c r="C37" s="12">
        <v>41572500</v>
      </c>
      <c r="D37" s="12">
        <v>40747500</v>
      </c>
    </row>
    <row r="38" spans="1:4" ht="15" customHeight="1">
      <c r="A38" s="48" t="s">
        <v>314</v>
      </c>
      <c r="B38" s="9" t="s">
        <v>11</v>
      </c>
      <c r="C38" s="12"/>
      <c r="D38" s="12"/>
    </row>
    <row r="39" spans="1:4" ht="15" customHeight="1">
      <c r="A39" s="48" t="s">
        <v>315</v>
      </c>
      <c r="B39" s="9" t="s">
        <v>11</v>
      </c>
      <c r="C39" s="12"/>
      <c r="D39" s="12"/>
    </row>
    <row r="40" spans="1:4" ht="15" customHeight="1">
      <c r="A40" s="48" t="s">
        <v>316</v>
      </c>
      <c r="B40" s="9" t="s">
        <v>11</v>
      </c>
      <c r="C40" s="12">
        <f>SUM(C41:C44)</f>
        <v>4086802866</v>
      </c>
      <c r="D40" s="12">
        <f>SUM(D41:D44)</f>
        <v>5397732024</v>
      </c>
    </row>
    <row r="41" spans="1:4" ht="15" customHeight="1">
      <c r="A41" s="48" t="s">
        <v>308</v>
      </c>
      <c r="B41" s="9" t="s">
        <v>11</v>
      </c>
      <c r="C41" s="12">
        <f>1444755437+757857067+1036025393</f>
        <v>3238637897</v>
      </c>
      <c r="D41" s="12">
        <f>1242978315+1140573137+2378554100</f>
        <v>4762105552</v>
      </c>
    </row>
    <row r="42" spans="1:4" ht="15" customHeight="1">
      <c r="A42" s="48" t="s">
        <v>317</v>
      </c>
      <c r="B42" s="9" t="s">
        <v>11</v>
      </c>
      <c r="C42" s="12">
        <f>119034406+117709020+539000019</f>
        <v>775743445</v>
      </c>
      <c r="D42" s="12">
        <f>340828455+87302747+143656698</f>
        <v>571787900</v>
      </c>
    </row>
    <row r="43" spans="1:4" ht="15" customHeight="1">
      <c r="A43" s="48" t="s">
        <v>318</v>
      </c>
      <c r="B43" s="9" t="s">
        <v>11</v>
      </c>
      <c r="C43" s="12">
        <v>18546888</v>
      </c>
      <c r="D43" s="12">
        <v>9963936</v>
      </c>
    </row>
    <row r="44" spans="1:4" ht="15" customHeight="1">
      <c r="A44" s="48" t="s">
        <v>319</v>
      </c>
      <c r="B44" s="9" t="s">
        <v>11</v>
      </c>
      <c r="C44" s="12">
        <v>53874636</v>
      </c>
      <c r="D44" s="12">
        <v>53874636</v>
      </c>
    </row>
    <row r="45" spans="1:4" ht="15" customHeight="1">
      <c r="A45" s="48" t="s">
        <v>320</v>
      </c>
      <c r="B45" s="9" t="s">
        <v>11</v>
      </c>
      <c r="C45" s="12"/>
      <c r="D45" s="12"/>
    </row>
    <row r="46" spans="1:4" ht="15" customHeight="1">
      <c r="A46" s="48" t="s">
        <v>308</v>
      </c>
      <c r="B46" s="9" t="s">
        <v>11</v>
      </c>
      <c r="C46" s="12"/>
      <c r="D46" s="12"/>
    </row>
    <row r="47" spans="1:4" ht="15" customHeight="1">
      <c r="A47" s="48" t="s">
        <v>309</v>
      </c>
      <c r="B47" s="9" t="s">
        <v>11</v>
      </c>
      <c r="C47" s="12"/>
      <c r="D47" s="12"/>
    </row>
    <row r="48" spans="1:4" ht="15" customHeight="1">
      <c r="A48" s="48" t="s">
        <v>321</v>
      </c>
      <c r="B48" s="9" t="s">
        <v>11</v>
      </c>
      <c r="C48" s="12"/>
      <c r="D48" s="12"/>
    </row>
    <row r="49" spans="1:4" ht="15" customHeight="1">
      <c r="A49" s="48" t="s">
        <v>322</v>
      </c>
      <c r="B49" s="9" t="s">
        <v>11</v>
      </c>
      <c r="C49" s="12"/>
      <c r="D49" s="12"/>
    </row>
    <row r="50" spans="1:4" s="23" customFormat="1" ht="15" customHeight="1">
      <c r="A50" s="42" t="s">
        <v>323</v>
      </c>
      <c r="B50" s="49" t="s">
        <v>324</v>
      </c>
      <c r="C50" s="10">
        <f>C51</f>
        <v>22648757</v>
      </c>
      <c r="D50" s="10">
        <f>D51</f>
        <v>471986071</v>
      </c>
    </row>
    <row r="51" spans="1:4" s="23" customFormat="1" ht="15" customHeight="1">
      <c r="A51" s="42" t="s">
        <v>325</v>
      </c>
      <c r="B51" s="49"/>
      <c r="C51" s="10">
        <f>SUM(C52:C60)</f>
        <v>22648757</v>
      </c>
      <c r="D51" s="10">
        <f>SUM(D52:D60)</f>
        <v>471986071</v>
      </c>
    </row>
    <row r="52" spans="1:4" s="23" customFormat="1" ht="15" customHeight="1">
      <c r="A52" s="48" t="s">
        <v>326</v>
      </c>
      <c r="B52" s="9"/>
      <c r="C52" s="12">
        <v>22648757</v>
      </c>
      <c r="D52" s="12">
        <v>471986071</v>
      </c>
    </row>
    <row r="53" spans="1:4" s="23" customFormat="1" ht="15" customHeight="1">
      <c r="A53" s="48" t="s">
        <v>327</v>
      </c>
      <c r="B53" s="9"/>
      <c r="C53" s="12"/>
      <c r="D53" s="12"/>
    </row>
    <row r="54" spans="1:4" s="23" customFormat="1" ht="15" customHeight="1">
      <c r="A54" s="48" t="s">
        <v>328</v>
      </c>
      <c r="B54" s="9"/>
      <c r="C54" s="12"/>
      <c r="D54" s="12"/>
    </row>
    <row r="55" spans="1:4" s="23" customFormat="1" ht="15" customHeight="1">
      <c r="A55" s="48" t="s">
        <v>329</v>
      </c>
      <c r="B55" s="9"/>
      <c r="C55" s="12"/>
      <c r="D55" s="12"/>
    </row>
    <row r="56" spans="1:4" s="23" customFormat="1" ht="15" customHeight="1">
      <c r="A56" s="48" t="s">
        <v>330</v>
      </c>
      <c r="B56" s="9"/>
      <c r="C56" s="12"/>
      <c r="D56" s="12"/>
    </row>
    <row r="57" spans="1:4" s="23" customFormat="1" ht="15" customHeight="1">
      <c r="A57" s="48" t="s">
        <v>331</v>
      </c>
      <c r="B57" s="9"/>
      <c r="C57" s="12"/>
      <c r="D57" s="12"/>
    </row>
    <row r="58" spans="1:4" s="23" customFormat="1" ht="15" customHeight="1">
      <c r="A58" s="48" t="s">
        <v>332</v>
      </c>
      <c r="B58" s="9"/>
      <c r="C58" s="12"/>
      <c r="D58" s="12"/>
    </row>
    <row r="59" spans="1:4" s="23" customFormat="1" ht="15" customHeight="1">
      <c r="A59" s="48" t="s">
        <v>333</v>
      </c>
      <c r="B59" s="9"/>
      <c r="C59" s="12"/>
      <c r="D59" s="12"/>
    </row>
    <row r="60" spans="1:4" s="23" customFormat="1" ht="15" customHeight="1">
      <c r="A60" s="48" t="s">
        <v>334</v>
      </c>
      <c r="B60" s="9"/>
      <c r="C60" s="12"/>
      <c r="D60" s="12"/>
    </row>
    <row r="61" spans="1:4" s="23" customFormat="1" ht="15" customHeight="1">
      <c r="A61" s="42" t="s">
        <v>335</v>
      </c>
      <c r="B61" s="49"/>
      <c r="C61" s="10"/>
      <c r="D61" s="10"/>
    </row>
    <row r="62" spans="1:4" s="23" customFormat="1" ht="15" customHeight="1">
      <c r="A62" s="48" t="s">
        <v>336</v>
      </c>
      <c r="B62" s="9"/>
      <c r="C62" s="12"/>
      <c r="D62" s="12"/>
    </row>
    <row r="63" spans="1:4" s="23" customFormat="1" ht="15" customHeight="1">
      <c r="A63" s="48" t="s">
        <v>337</v>
      </c>
      <c r="B63" s="9"/>
      <c r="C63" s="12"/>
      <c r="D63" s="12"/>
    </row>
    <row r="64" spans="1:4" s="23" customFormat="1" ht="15" customHeight="1">
      <c r="A64" s="48" t="s">
        <v>338</v>
      </c>
      <c r="B64" s="9"/>
      <c r="C64" s="12"/>
      <c r="D64" s="12"/>
    </row>
    <row r="65" spans="1:4" s="23" customFormat="1" ht="15" customHeight="1">
      <c r="A65" s="42" t="s">
        <v>339</v>
      </c>
      <c r="B65" s="49" t="s">
        <v>60</v>
      </c>
      <c r="C65" s="10">
        <f>SUM(C66:C69)</f>
        <v>880866642</v>
      </c>
      <c r="D65" s="10">
        <f>SUM(D66:D69)</f>
        <v>561714642</v>
      </c>
    </row>
    <row r="66" spans="1:4" ht="15" customHeight="1">
      <c r="A66" s="48" t="s">
        <v>340</v>
      </c>
      <c r="B66" s="9" t="s">
        <v>11</v>
      </c>
      <c r="C66" s="12">
        <f>6200000+862367249</f>
        <v>868567249</v>
      </c>
      <c r="D66" s="12">
        <v>549415249</v>
      </c>
    </row>
    <row r="67" spans="1:4" ht="15" customHeight="1">
      <c r="A67" s="48" t="s">
        <v>341</v>
      </c>
      <c r="B67" s="9" t="s">
        <v>11</v>
      </c>
      <c r="C67" s="12"/>
      <c r="D67" s="12"/>
    </row>
    <row r="68" spans="1:4" ht="15" customHeight="1">
      <c r="A68" s="48" t="s">
        <v>342</v>
      </c>
      <c r="B68" s="9" t="s">
        <v>11</v>
      </c>
      <c r="C68" s="12"/>
      <c r="D68" s="12"/>
    </row>
    <row r="69" spans="1:4" ht="15" customHeight="1">
      <c r="A69" s="48" t="s">
        <v>343</v>
      </c>
      <c r="B69" s="9" t="s">
        <v>11</v>
      </c>
      <c r="C69" s="12">
        <v>12299393</v>
      </c>
      <c r="D69" s="12">
        <v>12299393</v>
      </c>
    </row>
    <row r="70" spans="1:4" s="23" customFormat="1" ht="15" customHeight="1">
      <c r="A70" s="42" t="s">
        <v>344</v>
      </c>
      <c r="B70" s="49" t="s">
        <v>71</v>
      </c>
      <c r="C70" s="12"/>
      <c r="D70" s="12"/>
    </row>
    <row r="71" spans="1:4" s="23" customFormat="1" ht="15" customHeight="1">
      <c r="A71" s="42" t="s">
        <v>345</v>
      </c>
      <c r="B71" s="49" t="s">
        <v>11</v>
      </c>
      <c r="C71" s="12"/>
      <c r="D71" s="12"/>
    </row>
    <row r="72" spans="1:4" ht="15" customHeight="1">
      <c r="A72" s="48" t="s">
        <v>346</v>
      </c>
      <c r="B72" s="9" t="s">
        <v>11</v>
      </c>
      <c r="C72" s="12"/>
      <c r="D72" s="12"/>
    </row>
    <row r="73" spans="1:4" ht="15" customHeight="1">
      <c r="A73" s="48" t="s">
        <v>347</v>
      </c>
      <c r="B73" s="9" t="s">
        <v>11</v>
      </c>
      <c r="C73" s="12"/>
      <c r="D73" s="12"/>
    </row>
    <row r="74" spans="1:4" ht="15" customHeight="1">
      <c r="A74" s="48" t="s">
        <v>348</v>
      </c>
      <c r="B74" s="9" t="s">
        <v>11</v>
      </c>
      <c r="C74" s="12"/>
      <c r="D74" s="12"/>
    </row>
    <row r="75" spans="1:4" ht="15" customHeight="1">
      <c r="A75" s="48" t="s">
        <v>349</v>
      </c>
      <c r="B75" s="9" t="s">
        <v>11</v>
      </c>
      <c r="C75" s="12"/>
      <c r="D75" s="12"/>
    </row>
    <row r="76" spans="1:4" s="23" customFormat="1" ht="15" customHeight="1">
      <c r="A76" s="42" t="s">
        <v>350</v>
      </c>
      <c r="B76" s="49" t="s">
        <v>11</v>
      </c>
      <c r="C76" s="12"/>
      <c r="D76" s="12"/>
    </row>
    <row r="77" spans="1:4" s="23" customFormat="1" ht="15" customHeight="1">
      <c r="A77" s="42" t="s">
        <v>351</v>
      </c>
      <c r="B77" s="49" t="s">
        <v>74</v>
      </c>
      <c r="C77" s="10"/>
      <c r="D77" s="10"/>
    </row>
    <row r="78" spans="1:4" ht="15" customHeight="1">
      <c r="A78" s="48" t="s">
        <v>352</v>
      </c>
      <c r="B78" s="9" t="s">
        <v>11</v>
      </c>
      <c r="C78" s="12"/>
      <c r="D78" s="12"/>
    </row>
    <row r="79" spans="1:4" ht="15" customHeight="1">
      <c r="A79" s="48" t="s">
        <v>353</v>
      </c>
      <c r="B79" s="9" t="s">
        <v>11</v>
      </c>
      <c r="C79" s="12"/>
      <c r="D79" s="12"/>
    </row>
    <row r="80" spans="1:4" ht="15" customHeight="1">
      <c r="A80" s="48" t="s">
        <v>354</v>
      </c>
      <c r="B80" s="9" t="s">
        <v>11</v>
      </c>
      <c r="C80" s="12"/>
      <c r="D80" s="12"/>
    </row>
    <row r="81" spans="1:4" s="23" customFormat="1" ht="15" customHeight="1">
      <c r="A81" s="42" t="s">
        <v>446</v>
      </c>
      <c r="B81" s="49" t="s">
        <v>81</v>
      </c>
      <c r="C81" s="12"/>
      <c r="D81" s="12"/>
    </row>
    <row r="82" spans="1:4" s="23" customFormat="1" ht="15" customHeight="1">
      <c r="A82" s="42" t="s">
        <v>445</v>
      </c>
      <c r="B82" s="49" t="s">
        <v>88</v>
      </c>
      <c r="C82" s="12"/>
      <c r="D82" s="12"/>
    </row>
    <row r="83" spans="1:4" s="23" customFormat="1" ht="15" customHeight="1">
      <c r="A83" s="42" t="s">
        <v>444</v>
      </c>
      <c r="B83" s="49" t="s">
        <v>93</v>
      </c>
      <c r="C83" s="12"/>
      <c r="D83" s="12"/>
    </row>
    <row r="84" spans="1:4" s="23" customFormat="1" ht="15" customHeight="1">
      <c r="A84" s="42" t="s">
        <v>585</v>
      </c>
      <c r="B84" s="49" t="s">
        <v>98</v>
      </c>
      <c r="C84" s="10"/>
      <c r="D84" s="10"/>
    </row>
    <row r="85" spans="1:4" s="23" customFormat="1" ht="15" customHeight="1">
      <c r="A85" s="42" t="s">
        <v>443</v>
      </c>
      <c r="B85" s="49" t="s">
        <v>101</v>
      </c>
      <c r="C85" s="12"/>
      <c r="D85" s="12"/>
    </row>
    <row r="86" spans="1:4" s="23" customFormat="1" ht="15" customHeight="1">
      <c r="A86" s="42" t="s">
        <v>355</v>
      </c>
      <c r="B86" s="49" t="s">
        <v>112</v>
      </c>
      <c r="C86" s="10">
        <f>SUM(C87:C91)</f>
        <v>7534320526</v>
      </c>
      <c r="D86" s="10">
        <f>SUM(D87:D91)</f>
        <v>7344228778</v>
      </c>
    </row>
    <row r="87" spans="1:4" ht="15" customHeight="1">
      <c r="A87" s="48" t="s">
        <v>356</v>
      </c>
      <c r="B87" s="9" t="s">
        <v>11</v>
      </c>
      <c r="C87" s="12"/>
      <c r="D87" s="12"/>
    </row>
    <row r="88" spans="1:4" ht="15" customHeight="1">
      <c r="A88" s="48" t="s">
        <v>357</v>
      </c>
      <c r="B88" s="9" t="s">
        <v>11</v>
      </c>
      <c r="C88" s="12"/>
      <c r="D88" s="12"/>
    </row>
    <row r="89" spans="1:4" ht="15" customHeight="1">
      <c r="A89" s="48" t="s">
        <v>358</v>
      </c>
      <c r="B89" s="9" t="s">
        <v>11</v>
      </c>
      <c r="C89" s="12"/>
      <c r="D89" s="12"/>
    </row>
    <row r="90" spans="1:4" ht="15" customHeight="1">
      <c r="A90" s="48" t="s">
        <v>359</v>
      </c>
      <c r="B90" s="9" t="s">
        <v>11</v>
      </c>
      <c r="C90" s="12"/>
      <c r="D90" s="12"/>
    </row>
    <row r="91" spans="1:4" ht="15" customHeight="1">
      <c r="A91" s="48" t="s">
        <v>360</v>
      </c>
      <c r="B91" s="9" t="s">
        <v>11</v>
      </c>
      <c r="C91" s="12">
        <v>7534320526</v>
      </c>
      <c r="D91" s="12">
        <v>7344228778</v>
      </c>
    </row>
    <row r="92" spans="1:4" s="23" customFormat="1" ht="15" customHeight="1">
      <c r="A92" s="42" t="s">
        <v>361</v>
      </c>
      <c r="B92" s="49" t="s">
        <v>118</v>
      </c>
      <c r="C92" s="10"/>
      <c r="D92" s="10"/>
    </row>
    <row r="93" spans="1:4" ht="15" customHeight="1">
      <c r="A93" s="48" t="s">
        <v>362</v>
      </c>
      <c r="B93" s="9" t="s">
        <v>11</v>
      </c>
      <c r="C93" s="12"/>
      <c r="D93" s="12"/>
    </row>
    <row r="94" spans="1:4" ht="15" customHeight="1">
      <c r="A94" s="48" t="s">
        <v>363</v>
      </c>
      <c r="B94" s="9" t="s">
        <v>11</v>
      </c>
      <c r="C94" s="12"/>
      <c r="D94" s="12"/>
    </row>
    <row r="95" spans="1:4" ht="15" customHeight="1">
      <c r="A95" s="48" t="s">
        <v>364</v>
      </c>
      <c r="B95" s="9" t="s">
        <v>11</v>
      </c>
      <c r="C95" s="12"/>
      <c r="D95" s="12"/>
    </row>
    <row r="96" spans="1:4" ht="15" customHeight="1">
      <c r="A96" s="48" t="s">
        <v>365</v>
      </c>
      <c r="B96" s="9" t="s">
        <v>11</v>
      </c>
      <c r="C96" s="12"/>
      <c r="D96" s="12"/>
    </row>
    <row r="97" spans="1:4" ht="15" customHeight="1">
      <c r="A97" s="48" t="s">
        <v>366</v>
      </c>
      <c r="B97" s="9" t="s">
        <v>11</v>
      </c>
      <c r="C97" s="12"/>
      <c r="D97" s="12"/>
    </row>
    <row r="98" spans="1:4" s="23" customFormat="1" ht="15" customHeight="1">
      <c r="A98" s="42" t="s">
        <v>367</v>
      </c>
      <c r="B98" s="49" t="s">
        <v>124</v>
      </c>
      <c r="C98" s="10"/>
      <c r="D98" s="10"/>
    </row>
    <row r="99" spans="1:4" ht="15" customHeight="1">
      <c r="A99" s="48" t="s">
        <v>368</v>
      </c>
      <c r="B99" s="9" t="s">
        <v>11</v>
      </c>
      <c r="C99" s="12"/>
      <c r="D99" s="12"/>
    </row>
    <row r="100" spans="1:4" ht="15" customHeight="1">
      <c r="A100" s="48" t="s">
        <v>369</v>
      </c>
      <c r="B100" s="9" t="s">
        <v>11</v>
      </c>
      <c r="C100" s="12"/>
      <c r="D100" s="12"/>
    </row>
    <row r="101" spans="1:4" s="23" customFormat="1" ht="15" customHeight="1">
      <c r="A101" s="42" t="s">
        <v>370</v>
      </c>
      <c r="B101" s="49" t="s">
        <v>135</v>
      </c>
      <c r="C101" s="10">
        <f aca="true" t="shared" si="0" ref="C101:D103">C102</f>
        <v>0</v>
      </c>
      <c r="D101" s="10">
        <f t="shared" si="0"/>
        <v>5350000000</v>
      </c>
    </row>
    <row r="102" spans="1:4" s="23" customFormat="1" ht="15" customHeight="1">
      <c r="A102" s="42" t="s">
        <v>371</v>
      </c>
      <c r="B102" s="49" t="s">
        <v>11</v>
      </c>
      <c r="C102" s="10">
        <f t="shared" si="0"/>
        <v>0</v>
      </c>
      <c r="D102" s="10">
        <f t="shared" si="0"/>
        <v>5350000000</v>
      </c>
    </row>
    <row r="103" spans="1:4" ht="15" customHeight="1">
      <c r="A103" s="48" t="s">
        <v>372</v>
      </c>
      <c r="B103" s="9" t="s">
        <v>11</v>
      </c>
      <c r="C103" s="12">
        <f t="shared" si="0"/>
        <v>0</v>
      </c>
      <c r="D103" s="12">
        <f t="shared" si="0"/>
        <v>5350000000</v>
      </c>
    </row>
    <row r="104" spans="1:4" ht="15" customHeight="1">
      <c r="A104" s="48" t="s">
        <v>289</v>
      </c>
      <c r="B104" s="9" t="s">
        <v>11</v>
      </c>
      <c r="C104" s="12"/>
      <c r="D104" s="12">
        <v>5350000000</v>
      </c>
    </row>
    <row r="105" spans="1:4" ht="15" customHeight="1">
      <c r="A105" s="48" t="s">
        <v>290</v>
      </c>
      <c r="B105" s="9" t="s">
        <v>11</v>
      </c>
      <c r="C105" s="12"/>
      <c r="D105" s="12"/>
    </row>
    <row r="106" spans="1:4" ht="15" customHeight="1">
      <c r="A106" s="48" t="s">
        <v>373</v>
      </c>
      <c r="B106" s="9" t="s">
        <v>11</v>
      </c>
      <c r="C106" s="12"/>
      <c r="D106" s="12"/>
    </row>
    <row r="107" spans="1:4" ht="15" customHeight="1">
      <c r="A107" s="48" t="s">
        <v>374</v>
      </c>
      <c r="B107" s="9" t="s">
        <v>11</v>
      </c>
      <c r="C107" s="12"/>
      <c r="D107" s="12"/>
    </row>
    <row r="108" spans="1:4" s="23" customFormat="1" ht="15" customHeight="1">
      <c r="A108" s="42" t="s">
        <v>375</v>
      </c>
      <c r="B108" s="49" t="s">
        <v>11</v>
      </c>
      <c r="C108" s="10"/>
      <c r="D108" s="10"/>
    </row>
    <row r="109" spans="1:4" ht="15" customHeight="1">
      <c r="A109" s="48" t="s">
        <v>376</v>
      </c>
      <c r="B109" s="9" t="s">
        <v>11</v>
      </c>
      <c r="C109" s="12"/>
      <c r="D109" s="12"/>
    </row>
    <row r="110" spans="1:4" ht="15" customHeight="1">
      <c r="A110" s="48" t="s">
        <v>289</v>
      </c>
      <c r="B110" s="9" t="s">
        <v>11</v>
      </c>
      <c r="C110" s="12"/>
      <c r="D110" s="12"/>
    </row>
    <row r="111" spans="1:4" ht="15" customHeight="1">
      <c r="A111" s="48" t="s">
        <v>290</v>
      </c>
      <c r="B111" s="9" t="s">
        <v>11</v>
      </c>
      <c r="C111" s="12"/>
      <c r="D111" s="12"/>
    </row>
    <row r="112" spans="1:4" ht="15" customHeight="1">
      <c r="A112" s="48" t="s">
        <v>377</v>
      </c>
      <c r="B112" s="9" t="s">
        <v>11</v>
      </c>
      <c r="C112" s="12"/>
      <c r="D112" s="12"/>
    </row>
    <row r="113" spans="1:4" ht="15" customHeight="1">
      <c r="A113" s="48" t="s">
        <v>378</v>
      </c>
      <c r="B113" s="9" t="s">
        <v>11</v>
      </c>
      <c r="C113" s="12"/>
      <c r="D113" s="12"/>
    </row>
    <row r="114" spans="1:4" s="23" customFormat="1" ht="15" customHeight="1">
      <c r="A114" s="42" t="s">
        <v>379</v>
      </c>
      <c r="B114" s="49" t="s">
        <v>142</v>
      </c>
      <c r="C114" s="10"/>
      <c r="D114" s="10"/>
    </row>
    <row r="115" spans="1:4" s="23" customFormat="1" ht="15" customHeight="1">
      <c r="A115" s="42" t="s">
        <v>380</v>
      </c>
      <c r="B115" s="49"/>
      <c r="C115" s="10">
        <f>SUM(C116:C124)</f>
        <v>1349136155</v>
      </c>
      <c r="D115" s="10">
        <f>SUM(D116:D124)</f>
        <v>858083473</v>
      </c>
    </row>
    <row r="116" spans="1:4" s="23" customFormat="1" ht="15" customHeight="1">
      <c r="A116" s="48" t="s">
        <v>326</v>
      </c>
      <c r="B116" s="9"/>
      <c r="C116" s="12">
        <f>82244458+467342550</f>
        <v>549587008</v>
      </c>
      <c r="D116" s="12">
        <v>83922013</v>
      </c>
    </row>
    <row r="117" spans="1:4" s="23" customFormat="1" ht="15" customHeight="1">
      <c r="A117" s="48" t="s">
        <v>327</v>
      </c>
      <c r="B117" s="9"/>
      <c r="C117" s="12"/>
      <c r="D117" s="12"/>
    </row>
    <row r="118" spans="1:4" s="23" customFormat="1" ht="15" customHeight="1">
      <c r="A118" s="48" t="s">
        <v>328</v>
      </c>
      <c r="B118" s="9"/>
      <c r="C118" s="12"/>
      <c r="D118" s="12"/>
    </row>
    <row r="119" spans="1:4" s="23" customFormat="1" ht="15" customHeight="1">
      <c r="A119" s="48" t="s">
        <v>329</v>
      </c>
      <c r="B119" s="9"/>
      <c r="C119" s="12"/>
      <c r="D119" s="12"/>
    </row>
    <row r="120" spans="1:4" s="23" customFormat="1" ht="15" customHeight="1">
      <c r="A120" s="48" t="s">
        <v>330</v>
      </c>
      <c r="B120" s="9"/>
      <c r="C120" s="12">
        <v>738052198</v>
      </c>
      <c r="D120" s="12">
        <v>750707645</v>
      </c>
    </row>
    <row r="121" spans="1:4" s="23" customFormat="1" ht="15" customHeight="1">
      <c r="A121" s="48" t="s">
        <v>331</v>
      </c>
      <c r="B121" s="9"/>
      <c r="C121" s="12">
        <v>61496949</v>
      </c>
      <c r="D121" s="12">
        <v>23453815</v>
      </c>
    </row>
    <row r="122" spans="1:4" s="23" customFormat="1" ht="15" customHeight="1">
      <c r="A122" s="48" t="s">
        <v>332</v>
      </c>
      <c r="B122" s="9"/>
      <c r="C122" s="12"/>
      <c r="D122" s="12"/>
    </row>
    <row r="123" spans="1:4" s="23" customFormat="1" ht="15" customHeight="1">
      <c r="A123" s="48" t="s">
        <v>333</v>
      </c>
      <c r="B123" s="9"/>
      <c r="C123" s="12"/>
      <c r="D123" s="12"/>
    </row>
    <row r="124" spans="1:4" s="23" customFormat="1" ht="15" customHeight="1">
      <c r="A124" s="48" t="s">
        <v>334</v>
      </c>
      <c r="B124" s="9"/>
      <c r="C124" s="12"/>
      <c r="D124" s="12"/>
    </row>
    <row r="125" spans="1:4" s="23" customFormat="1" ht="15" customHeight="1">
      <c r="A125" s="42" t="s">
        <v>381</v>
      </c>
      <c r="B125" s="49"/>
      <c r="C125" s="10"/>
      <c r="D125" s="10"/>
    </row>
    <row r="126" spans="1:4" s="23" customFormat="1" ht="15" customHeight="1">
      <c r="A126" s="48" t="s">
        <v>336</v>
      </c>
      <c r="B126" s="9"/>
      <c r="C126" s="12"/>
      <c r="D126" s="12"/>
    </row>
    <row r="127" spans="1:4" s="23" customFormat="1" ht="15" customHeight="1">
      <c r="A127" s="48" t="s">
        <v>337</v>
      </c>
      <c r="B127" s="9"/>
      <c r="C127" s="12"/>
      <c r="D127" s="12"/>
    </row>
    <row r="128" spans="1:4" s="23" customFormat="1" ht="15" customHeight="1">
      <c r="A128" s="48" t="s">
        <v>338</v>
      </c>
      <c r="B128" s="9"/>
      <c r="C128" s="12"/>
      <c r="D128" s="12"/>
    </row>
    <row r="129" spans="1:4" s="23" customFormat="1" ht="15" customHeight="1">
      <c r="A129" s="42" t="s">
        <v>382</v>
      </c>
      <c r="B129" s="49" t="s">
        <v>147</v>
      </c>
      <c r="C129" s="10">
        <f>SUM(C130:C133)</f>
        <v>13179136347</v>
      </c>
      <c r="D129" s="10">
        <f>SUM(D130:D133)</f>
        <v>10860515161</v>
      </c>
    </row>
    <row r="130" spans="1:4" ht="15" customHeight="1">
      <c r="A130" s="48" t="s">
        <v>383</v>
      </c>
      <c r="B130" s="9" t="s">
        <v>11</v>
      </c>
      <c r="C130" s="12"/>
      <c r="D130" s="12"/>
    </row>
    <row r="131" spans="1:4" ht="15" customHeight="1">
      <c r="A131" s="48" t="s">
        <v>384</v>
      </c>
      <c r="B131" s="9" t="s">
        <v>11</v>
      </c>
      <c r="C131" s="12">
        <v>2056537000</v>
      </c>
      <c r="D131" s="12">
        <v>1397537000</v>
      </c>
    </row>
    <row r="132" spans="1:4" ht="15" customHeight="1">
      <c r="A132" s="48" t="s">
        <v>385</v>
      </c>
      <c r="B132" s="9" t="s">
        <v>11</v>
      </c>
      <c r="C132" s="12"/>
      <c r="D132" s="12"/>
    </row>
    <row r="133" spans="1:4" ht="15" customHeight="1">
      <c r="A133" s="48" t="s">
        <v>386</v>
      </c>
      <c r="B133" s="9" t="s">
        <v>11</v>
      </c>
      <c r="C133" s="12">
        <f>13179136347-C131</f>
        <v>11122599347</v>
      </c>
      <c r="D133" s="12">
        <f>10860515161-D131</f>
        <v>9462978161</v>
      </c>
    </row>
    <row r="134" spans="1:4" s="23" customFormat="1" ht="15" customHeight="1">
      <c r="A134" s="42" t="s">
        <v>387</v>
      </c>
      <c r="B134" s="49" t="s">
        <v>150</v>
      </c>
      <c r="C134" s="12"/>
      <c r="D134" s="12"/>
    </row>
    <row r="135" spans="1:4" ht="15" customHeight="1">
      <c r="A135" s="48" t="s">
        <v>388</v>
      </c>
      <c r="B135" s="9" t="s">
        <v>11</v>
      </c>
      <c r="C135" s="12"/>
      <c r="D135" s="12"/>
    </row>
    <row r="136" spans="1:4" ht="15" customHeight="1">
      <c r="A136" s="48" t="s">
        <v>389</v>
      </c>
      <c r="B136" s="9" t="s">
        <v>11</v>
      </c>
      <c r="C136" s="12"/>
      <c r="D136" s="12"/>
    </row>
    <row r="137" spans="1:4" s="23" customFormat="1" ht="15" customHeight="1">
      <c r="A137" s="42" t="s">
        <v>390</v>
      </c>
      <c r="B137" s="49" t="s">
        <v>155</v>
      </c>
      <c r="C137" s="10">
        <f>SUM(C138:C145)</f>
        <v>4474042895</v>
      </c>
      <c r="D137" s="10">
        <f>SUM(D138:D145)</f>
        <v>3796358554</v>
      </c>
    </row>
    <row r="138" spans="1:4" ht="15" customHeight="1">
      <c r="A138" s="48" t="s">
        <v>391</v>
      </c>
      <c r="B138" s="9" t="s">
        <v>11</v>
      </c>
      <c r="C138" s="12"/>
      <c r="D138" s="12"/>
    </row>
    <row r="139" spans="1:4" ht="15" customHeight="1">
      <c r="A139" s="48" t="s">
        <v>392</v>
      </c>
      <c r="B139" s="9" t="s">
        <v>11</v>
      </c>
      <c r="C139" s="12">
        <f>487013926-100797749+2188793</f>
        <v>388404970</v>
      </c>
      <c r="D139" s="12">
        <f>391916392-128994325</f>
        <v>262922067</v>
      </c>
    </row>
    <row r="140" spans="1:4" ht="15" customHeight="1">
      <c r="A140" s="48" t="s">
        <v>393</v>
      </c>
      <c r="B140" s="9" t="s">
        <v>11</v>
      </c>
      <c r="C140" s="12"/>
      <c r="D140" s="12"/>
    </row>
    <row r="141" spans="1:4" ht="15" customHeight="1">
      <c r="A141" s="48" t="s">
        <v>394</v>
      </c>
      <c r="B141" s="9" t="s">
        <v>11</v>
      </c>
      <c r="C141" s="12"/>
      <c r="D141" s="12"/>
    </row>
    <row r="142" spans="1:4" ht="15" customHeight="1">
      <c r="A142" s="48" t="s">
        <v>395</v>
      </c>
      <c r="B142" s="9" t="s">
        <v>11</v>
      </c>
      <c r="C142" s="12"/>
      <c r="D142" s="12"/>
    </row>
    <row r="143" spans="1:4" ht="15" customHeight="1">
      <c r="A143" s="48" t="s">
        <v>396</v>
      </c>
      <c r="B143" s="9" t="s">
        <v>11</v>
      </c>
      <c r="C143" s="12"/>
      <c r="D143" s="12"/>
    </row>
    <row r="144" spans="1:4" ht="15" customHeight="1">
      <c r="A144" s="48" t="s">
        <v>397</v>
      </c>
      <c r="B144" s="9" t="s">
        <v>11</v>
      </c>
      <c r="C144" s="12"/>
      <c r="D144" s="12"/>
    </row>
    <row r="145" spans="1:4" ht="15" customHeight="1">
      <c r="A145" s="48" t="s">
        <v>398</v>
      </c>
      <c r="B145" s="9" t="s">
        <v>11</v>
      </c>
      <c r="C145" s="12">
        <f>4474042895-C139</f>
        <v>4085637925</v>
      </c>
      <c r="D145" s="12">
        <f>3796358554-D139</f>
        <v>3533436487</v>
      </c>
    </row>
    <row r="146" spans="1:4" s="23" customFormat="1" ht="15" customHeight="1">
      <c r="A146" s="42" t="s">
        <v>399</v>
      </c>
      <c r="B146" s="49" t="s">
        <v>164</v>
      </c>
      <c r="C146" s="12"/>
      <c r="D146" s="12"/>
    </row>
    <row r="147" spans="1:4" s="23" customFormat="1" ht="15" customHeight="1">
      <c r="A147" s="42" t="s">
        <v>400</v>
      </c>
      <c r="B147" s="49" t="s">
        <v>11</v>
      </c>
      <c r="C147" s="12"/>
      <c r="D147" s="12"/>
    </row>
    <row r="148" spans="1:4" ht="15" customHeight="1">
      <c r="A148" s="48" t="s">
        <v>401</v>
      </c>
      <c r="B148" s="9" t="s">
        <v>11</v>
      </c>
      <c r="C148" s="12"/>
      <c r="D148" s="12"/>
    </row>
    <row r="149" spans="1:4" ht="15" customHeight="1">
      <c r="A149" s="48" t="s">
        <v>402</v>
      </c>
      <c r="B149" s="9" t="s">
        <v>11</v>
      </c>
      <c r="C149" s="12"/>
      <c r="D149" s="12"/>
    </row>
    <row r="150" spans="1:4" s="23" customFormat="1" ht="15" customHeight="1">
      <c r="A150" s="42" t="s">
        <v>403</v>
      </c>
      <c r="B150" s="49" t="s">
        <v>11</v>
      </c>
      <c r="C150" s="12"/>
      <c r="D150" s="12"/>
    </row>
    <row r="151" spans="1:4" s="23" customFormat="1" ht="15" customHeight="1">
      <c r="A151" s="42" t="s">
        <v>404</v>
      </c>
      <c r="B151" s="49" t="s">
        <v>167</v>
      </c>
      <c r="C151" s="10"/>
      <c r="D151" s="10"/>
    </row>
    <row r="152" spans="1:4" ht="15" customHeight="1">
      <c r="A152" s="48" t="s">
        <v>397</v>
      </c>
      <c r="B152" s="9" t="s">
        <v>11</v>
      </c>
      <c r="C152" s="12"/>
      <c r="D152" s="12"/>
    </row>
    <row r="153" spans="1:4" ht="15" customHeight="1">
      <c r="A153" s="48" t="s">
        <v>405</v>
      </c>
      <c r="B153" s="9" t="s">
        <v>11</v>
      </c>
      <c r="C153" s="12"/>
      <c r="D153" s="12"/>
    </row>
    <row r="154" spans="1:4" ht="15" customHeight="1">
      <c r="A154" s="48" t="s">
        <v>406</v>
      </c>
      <c r="B154" s="9" t="s">
        <v>11</v>
      </c>
      <c r="C154" s="12"/>
      <c r="D154" s="12"/>
    </row>
    <row r="155" spans="1:4" s="23" customFormat="1" ht="15" customHeight="1">
      <c r="A155" s="42" t="s">
        <v>407</v>
      </c>
      <c r="B155" s="49" t="s">
        <v>121</v>
      </c>
      <c r="C155" s="10"/>
      <c r="D155" s="10"/>
    </row>
    <row r="156" spans="1:4" s="23" customFormat="1" ht="15" customHeight="1">
      <c r="A156" s="42" t="s">
        <v>408</v>
      </c>
      <c r="B156" s="49" t="s">
        <v>11</v>
      </c>
      <c r="C156" s="10">
        <f>C157+C160</f>
        <v>18336550000</v>
      </c>
      <c r="D156" s="10">
        <f>D157+D160</f>
        <v>18854550000</v>
      </c>
    </row>
    <row r="157" spans="1:4" ht="15" customHeight="1">
      <c r="A157" s="48" t="s">
        <v>372</v>
      </c>
      <c r="B157" s="9" t="s">
        <v>11</v>
      </c>
      <c r="C157" s="12">
        <f>C158</f>
        <v>12946550000</v>
      </c>
      <c r="D157" s="12">
        <f>D158</f>
        <v>13594550000</v>
      </c>
    </row>
    <row r="158" spans="1:4" ht="15" customHeight="1">
      <c r="A158" s="48" t="s">
        <v>289</v>
      </c>
      <c r="B158" s="9" t="s">
        <v>11</v>
      </c>
      <c r="C158" s="12">
        <f>8593000000+4353550000</f>
        <v>12946550000</v>
      </c>
      <c r="D158" s="12">
        <f>8968000000+4626550000</f>
        <v>13594550000</v>
      </c>
    </row>
    <row r="159" spans="1:4" ht="15" customHeight="1">
      <c r="A159" s="48" t="s">
        <v>290</v>
      </c>
      <c r="B159" s="9" t="s">
        <v>11</v>
      </c>
      <c r="C159" s="12"/>
      <c r="D159" s="12"/>
    </row>
    <row r="160" spans="1:4" ht="15" customHeight="1">
      <c r="A160" s="48" t="s">
        <v>374</v>
      </c>
      <c r="B160" s="9" t="s">
        <v>11</v>
      </c>
      <c r="C160" s="12">
        <f>C161</f>
        <v>5390000000</v>
      </c>
      <c r="D160" s="12">
        <f>D161</f>
        <v>5260000000</v>
      </c>
    </row>
    <row r="161" spans="1:4" ht="15" customHeight="1">
      <c r="A161" s="48" t="s">
        <v>289</v>
      </c>
      <c r="B161" s="9" t="s">
        <v>11</v>
      </c>
      <c r="C161" s="12">
        <f>18336550000-C158</f>
        <v>5390000000</v>
      </c>
      <c r="D161" s="12">
        <f>4220000000+1040000000</f>
        <v>5260000000</v>
      </c>
    </row>
    <row r="162" spans="1:4" ht="15" customHeight="1">
      <c r="A162" s="48" t="s">
        <v>290</v>
      </c>
      <c r="B162" s="9" t="s">
        <v>11</v>
      </c>
      <c r="C162" s="12"/>
      <c r="D162" s="12"/>
    </row>
    <row r="163" spans="1:4" ht="15" customHeight="1">
      <c r="A163" s="48" t="s">
        <v>409</v>
      </c>
      <c r="B163" s="9" t="s">
        <v>11</v>
      </c>
      <c r="C163" s="12"/>
      <c r="D163" s="12"/>
    </row>
    <row r="164" spans="1:4" s="23" customFormat="1" ht="15" customHeight="1">
      <c r="A164" s="42" t="s">
        <v>410</v>
      </c>
      <c r="B164" s="49" t="s">
        <v>11</v>
      </c>
      <c r="C164" s="10">
        <f>SUM(C165:C166)</f>
        <v>303053547</v>
      </c>
      <c r="D164" s="10">
        <f>SUM(D165:D166)</f>
        <v>322203547</v>
      </c>
    </row>
    <row r="165" spans="1:4" ht="15" customHeight="1">
      <c r="A165" s="48" t="s">
        <v>411</v>
      </c>
      <c r="B165" s="9" t="s">
        <v>11</v>
      </c>
      <c r="C165" s="12"/>
      <c r="D165" s="12"/>
    </row>
    <row r="166" spans="1:4" ht="15" customHeight="1">
      <c r="A166" s="48" t="s">
        <v>412</v>
      </c>
      <c r="B166" s="9" t="s">
        <v>11</v>
      </c>
      <c r="C166" s="12">
        <f>480000+302573547</f>
        <v>303053547</v>
      </c>
      <c r="D166" s="12">
        <f>480000+321723547</f>
        <v>322203547</v>
      </c>
    </row>
    <row r="167" spans="1:4" s="23" customFormat="1" ht="15" customHeight="1">
      <c r="A167" s="42" t="s">
        <v>578</v>
      </c>
      <c r="B167" s="49"/>
      <c r="C167" s="10"/>
      <c r="D167" s="10"/>
    </row>
    <row r="168" spans="1:4" s="23" customFormat="1" ht="15" customHeight="1">
      <c r="A168" s="42" t="s">
        <v>413</v>
      </c>
      <c r="B168" s="49" t="s">
        <v>172</v>
      </c>
      <c r="C168" s="10"/>
      <c r="D168" s="10"/>
    </row>
    <row r="169" spans="1:4" ht="15" customHeight="1">
      <c r="A169" s="41" t="s">
        <v>414</v>
      </c>
      <c r="B169" s="9" t="s">
        <v>11</v>
      </c>
      <c r="C169" s="12"/>
      <c r="D169" s="12"/>
    </row>
    <row r="170" spans="1:4" ht="15" customHeight="1">
      <c r="A170" s="48" t="s">
        <v>415</v>
      </c>
      <c r="B170" s="9" t="s">
        <v>11</v>
      </c>
      <c r="C170" s="12"/>
      <c r="D170" s="12"/>
    </row>
    <row r="171" spans="1:4" ht="15" customHeight="1">
      <c r="A171" s="48" t="s">
        <v>416</v>
      </c>
      <c r="B171" s="9" t="s">
        <v>11</v>
      </c>
      <c r="C171" s="12"/>
      <c r="D171" s="12"/>
    </row>
    <row r="172" spans="1:4" ht="15" customHeight="1">
      <c r="A172" s="48" t="s">
        <v>417</v>
      </c>
      <c r="B172" s="9" t="s">
        <v>11</v>
      </c>
      <c r="C172" s="12"/>
      <c r="D172" s="12"/>
    </row>
    <row r="173" spans="1:4" ht="15" customHeight="1">
      <c r="A173" s="48" t="s">
        <v>418</v>
      </c>
      <c r="B173" s="9" t="s">
        <v>11</v>
      </c>
      <c r="C173" s="12"/>
      <c r="D173" s="12"/>
    </row>
    <row r="174" spans="1:4" ht="15" customHeight="1">
      <c r="A174" s="41" t="s">
        <v>419</v>
      </c>
      <c r="B174" s="9" t="s">
        <v>11</v>
      </c>
      <c r="C174" s="12"/>
      <c r="D174" s="12"/>
    </row>
    <row r="175" spans="1:4" ht="15" customHeight="1">
      <c r="A175" s="48" t="s">
        <v>420</v>
      </c>
      <c r="B175" s="9" t="s">
        <v>11</v>
      </c>
      <c r="C175" s="12"/>
      <c r="D175" s="12"/>
    </row>
    <row r="176" spans="1:4" ht="15" customHeight="1">
      <c r="A176" s="48" t="s">
        <v>421</v>
      </c>
      <c r="B176" s="9" t="s">
        <v>11</v>
      </c>
      <c r="C176" s="12"/>
      <c r="D176" s="12"/>
    </row>
    <row r="177" spans="1:4" s="23" customFormat="1" ht="15" customHeight="1">
      <c r="A177" s="42" t="s">
        <v>425</v>
      </c>
      <c r="B177" s="49" t="s">
        <v>183</v>
      </c>
      <c r="C177" s="10"/>
      <c r="D177" s="10"/>
    </row>
    <row r="178" spans="1:4" ht="15" customHeight="1">
      <c r="A178" s="42" t="s">
        <v>442</v>
      </c>
      <c r="B178" s="9"/>
      <c r="C178" s="12"/>
      <c r="D178" s="12"/>
    </row>
    <row r="179" spans="1:4" ht="15" customHeight="1">
      <c r="A179" s="42" t="s">
        <v>449</v>
      </c>
      <c r="B179" s="9"/>
      <c r="C179" s="12"/>
      <c r="D179" s="12"/>
    </row>
    <row r="180" spans="1:4" ht="15" customHeight="1">
      <c r="A180" s="42" t="s">
        <v>426</v>
      </c>
      <c r="B180" s="9"/>
      <c r="C180" s="12"/>
      <c r="D180" s="12"/>
    </row>
    <row r="181" spans="1:4" ht="15" customHeight="1">
      <c r="A181" s="48" t="s">
        <v>427</v>
      </c>
      <c r="B181" s="9"/>
      <c r="C181" s="12"/>
      <c r="D181" s="12"/>
    </row>
    <row r="182" spans="1:4" s="23" customFormat="1" ht="15" customHeight="1">
      <c r="A182" s="42" t="s">
        <v>428</v>
      </c>
      <c r="B182" s="49"/>
      <c r="C182" s="10"/>
      <c r="D182" s="10"/>
    </row>
    <row r="183" spans="1:4" ht="15" customHeight="1">
      <c r="A183" s="48" t="s">
        <v>429</v>
      </c>
      <c r="B183" s="9"/>
      <c r="C183" s="12"/>
      <c r="D183" s="12"/>
    </row>
    <row r="184" spans="1:4" ht="15" customHeight="1">
      <c r="A184" s="48" t="s">
        <v>430</v>
      </c>
      <c r="B184" s="9"/>
      <c r="C184" s="12"/>
      <c r="D184" s="12"/>
    </row>
    <row r="185" spans="1:4" ht="15" customHeight="1">
      <c r="A185" s="48" t="s">
        <v>431</v>
      </c>
      <c r="B185" s="9"/>
      <c r="C185" s="12"/>
      <c r="D185" s="12"/>
    </row>
    <row r="186" spans="1:4" ht="15" customHeight="1">
      <c r="A186" s="48" t="s">
        <v>432</v>
      </c>
      <c r="B186" s="9"/>
      <c r="C186" s="12"/>
      <c r="D186" s="12"/>
    </row>
    <row r="187" spans="1:4" s="23" customFormat="1" ht="15" customHeight="1">
      <c r="A187" s="42" t="s">
        <v>433</v>
      </c>
      <c r="B187" s="49"/>
      <c r="C187" s="10"/>
      <c r="D187" s="10"/>
    </row>
    <row r="188" spans="1:4" ht="15" customHeight="1">
      <c r="A188" s="48" t="s">
        <v>434</v>
      </c>
      <c r="B188" s="9"/>
      <c r="C188" s="12"/>
      <c r="D188" s="12"/>
    </row>
    <row r="189" spans="1:4" ht="15" customHeight="1">
      <c r="A189" s="48" t="s">
        <v>435</v>
      </c>
      <c r="B189" s="9"/>
      <c r="C189" s="12"/>
      <c r="D189" s="12"/>
    </row>
    <row r="190" spans="1:4" ht="15" customHeight="1">
      <c r="A190" s="48" t="s">
        <v>436</v>
      </c>
      <c r="B190" s="9"/>
      <c r="C190" s="12"/>
      <c r="D190" s="12"/>
    </row>
    <row r="191" spans="1:4" ht="15" customHeight="1">
      <c r="A191" s="48" t="s">
        <v>437</v>
      </c>
      <c r="B191" s="9"/>
      <c r="C191" s="12"/>
      <c r="D191" s="12"/>
    </row>
    <row r="192" spans="1:4" ht="15" customHeight="1">
      <c r="A192" s="48" t="s">
        <v>438</v>
      </c>
      <c r="B192" s="9"/>
      <c r="C192" s="12"/>
      <c r="D192" s="12"/>
    </row>
    <row r="193" spans="1:4" ht="15" customHeight="1">
      <c r="A193" s="48" t="s">
        <v>436</v>
      </c>
      <c r="B193" s="9"/>
      <c r="C193" s="12"/>
      <c r="D193" s="12"/>
    </row>
    <row r="194" spans="1:4" ht="15" customHeight="1">
      <c r="A194" s="48" t="s">
        <v>437</v>
      </c>
      <c r="B194" s="9"/>
      <c r="C194" s="12"/>
      <c r="D194" s="12"/>
    </row>
    <row r="195" spans="1:4" ht="15" customHeight="1">
      <c r="A195" s="48" t="s">
        <v>439</v>
      </c>
      <c r="B195" s="9"/>
      <c r="C195" s="12"/>
      <c r="D195" s="12"/>
    </row>
    <row r="196" spans="1:4" ht="15" customHeight="1">
      <c r="A196" s="48" t="s">
        <v>436</v>
      </c>
      <c r="B196" s="9"/>
      <c r="C196" s="12"/>
      <c r="D196" s="12"/>
    </row>
    <row r="197" spans="1:4" ht="15" customHeight="1">
      <c r="A197" s="48" t="s">
        <v>437</v>
      </c>
      <c r="B197" s="9"/>
      <c r="C197" s="12"/>
      <c r="D197" s="12"/>
    </row>
    <row r="198" spans="1:4" ht="15" customHeight="1">
      <c r="A198" s="42" t="s">
        <v>440</v>
      </c>
      <c r="B198" s="9"/>
      <c r="C198" s="12"/>
      <c r="D198" s="12"/>
    </row>
    <row r="199" spans="1:4" s="23" customFormat="1" ht="15" customHeight="1">
      <c r="A199" s="42" t="s">
        <v>441</v>
      </c>
      <c r="B199" s="49"/>
      <c r="C199" s="10"/>
      <c r="D199" s="10"/>
    </row>
    <row r="200" spans="1:4" s="23" customFormat="1" ht="15" customHeight="1">
      <c r="A200" s="42" t="s">
        <v>448</v>
      </c>
      <c r="B200" s="49"/>
      <c r="C200" s="10"/>
      <c r="D200" s="10"/>
    </row>
    <row r="201" spans="1:4" s="23" customFormat="1" ht="15" customHeight="1">
      <c r="A201" s="42" t="s">
        <v>450</v>
      </c>
      <c r="B201" s="49"/>
      <c r="C201" s="10"/>
      <c r="D201" s="10"/>
    </row>
    <row r="202" spans="1:4" s="23" customFormat="1" ht="15" customHeight="1">
      <c r="A202" s="42" t="s">
        <v>447</v>
      </c>
      <c r="B202" s="49" t="s">
        <v>451</v>
      </c>
      <c r="C202" s="10"/>
      <c r="D202" s="10"/>
    </row>
    <row r="203" spans="1:4" s="23" customFormat="1" ht="15" customHeight="1">
      <c r="A203" s="42" t="s">
        <v>452</v>
      </c>
      <c r="B203" s="49" t="s">
        <v>213</v>
      </c>
      <c r="C203" s="10"/>
      <c r="D203" s="10"/>
    </row>
    <row r="204" spans="1:4" s="23" customFormat="1" ht="15" customHeight="1">
      <c r="A204" s="42" t="s">
        <v>453</v>
      </c>
      <c r="B204" s="49"/>
      <c r="C204" s="10"/>
      <c r="D204" s="10"/>
    </row>
    <row r="205" spans="1:4" ht="15" customHeight="1">
      <c r="A205" s="48" t="s">
        <v>454</v>
      </c>
      <c r="B205" s="9"/>
      <c r="C205" s="12"/>
      <c r="D205" s="12"/>
    </row>
    <row r="206" spans="1:4" ht="15" customHeight="1">
      <c r="A206" s="48" t="s">
        <v>455</v>
      </c>
      <c r="B206" s="9"/>
      <c r="C206" s="12"/>
      <c r="D206" s="12"/>
    </row>
    <row r="207" spans="1:4" s="23" customFormat="1" ht="15" customHeight="1">
      <c r="A207" s="42" t="s">
        <v>459</v>
      </c>
      <c r="B207" s="49"/>
      <c r="C207" s="10"/>
      <c r="D207" s="10"/>
    </row>
    <row r="208" spans="1:4" s="23" customFormat="1" ht="15" customHeight="1">
      <c r="A208" s="42" t="s">
        <v>460</v>
      </c>
      <c r="B208" s="49"/>
      <c r="C208" s="10"/>
      <c r="D208" s="10"/>
    </row>
    <row r="209" spans="1:4" ht="15" customHeight="1">
      <c r="A209" s="48" t="s">
        <v>456</v>
      </c>
      <c r="B209" s="9"/>
      <c r="C209" s="12"/>
      <c r="D209" s="12"/>
    </row>
    <row r="210" spans="1:4" ht="15" customHeight="1">
      <c r="A210" s="48" t="s">
        <v>457</v>
      </c>
      <c r="B210" s="9"/>
      <c r="C210" s="12"/>
      <c r="D210" s="12"/>
    </row>
    <row r="211" spans="1:4" ht="15" customHeight="1">
      <c r="A211" s="48" t="s">
        <v>458</v>
      </c>
      <c r="B211" s="9"/>
      <c r="C211" s="12"/>
      <c r="D211" s="12"/>
    </row>
    <row r="212" spans="1:4" s="23" customFormat="1" ht="15" customHeight="1">
      <c r="A212" s="42" t="s">
        <v>422</v>
      </c>
      <c r="B212" s="49" t="s">
        <v>215</v>
      </c>
      <c r="C212" s="10"/>
      <c r="D212" s="10"/>
    </row>
    <row r="213" spans="1:4" ht="15" customHeight="1">
      <c r="A213" s="41" t="s">
        <v>423</v>
      </c>
      <c r="B213" s="9" t="s">
        <v>11</v>
      </c>
      <c r="C213" s="12"/>
      <c r="D213" s="12"/>
    </row>
    <row r="214" spans="1:4" ht="15" customHeight="1">
      <c r="A214" s="50" t="s">
        <v>424</v>
      </c>
      <c r="B214" s="17" t="s">
        <v>11</v>
      </c>
      <c r="C214" s="18"/>
      <c r="D214" s="18"/>
    </row>
  </sheetData>
  <sheetProtection/>
  <mergeCells count="1">
    <mergeCell ref="C3:D3"/>
  </mergeCells>
  <printOptions/>
  <pageMargins left="0.5" right="0.25" top="0.5" bottom="0.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25">
      <selection activeCell="H39" sqref="H39"/>
    </sheetView>
  </sheetViews>
  <sheetFormatPr defaultColWidth="9.140625" defaultRowHeight="12.75"/>
  <cols>
    <col min="1" max="1" width="35.140625" style="55" customWidth="1"/>
    <col min="2" max="2" width="7.7109375" style="55" customWidth="1"/>
    <col min="3" max="3" width="17.57421875" style="55" bestFit="1" customWidth="1"/>
    <col min="4" max="4" width="15.28125" style="55" customWidth="1"/>
    <col min="5" max="5" width="16.8515625" style="55" customWidth="1"/>
    <col min="6" max="6" width="15.28125" style="55" customWidth="1"/>
    <col min="7" max="7" width="14.57421875" style="55" customWidth="1"/>
    <col min="8" max="8" width="16.7109375" style="55" bestFit="1" customWidth="1"/>
    <col min="9" max="16384" width="9.140625" style="55" customWidth="1"/>
  </cols>
  <sheetData>
    <row r="1" s="36" customFormat="1" ht="15">
      <c r="A1" s="20" t="s">
        <v>508</v>
      </c>
    </row>
    <row r="2" s="36" customFormat="1" ht="15">
      <c r="H2" s="34" t="s">
        <v>2</v>
      </c>
    </row>
    <row r="3" spans="1:8" s="52" customFormat="1" ht="28.5">
      <c r="A3" s="39" t="s">
        <v>461</v>
      </c>
      <c r="B3" s="39" t="s">
        <v>462</v>
      </c>
      <c r="C3" s="39" t="s">
        <v>463</v>
      </c>
      <c r="D3" s="39" t="s">
        <v>464</v>
      </c>
      <c r="E3" s="39" t="s">
        <v>465</v>
      </c>
      <c r="F3" s="39" t="s">
        <v>466</v>
      </c>
      <c r="G3" s="39" t="s">
        <v>467</v>
      </c>
      <c r="H3" s="39" t="s">
        <v>468</v>
      </c>
    </row>
    <row r="4" spans="1:8" s="52" customFormat="1" ht="14.25">
      <c r="A4" s="39">
        <v>1</v>
      </c>
      <c r="B4" s="39">
        <v>2</v>
      </c>
      <c r="C4" s="39">
        <v>3</v>
      </c>
      <c r="D4" s="39">
        <v>4</v>
      </c>
      <c r="E4" s="39">
        <v>5</v>
      </c>
      <c r="F4" s="39">
        <v>6</v>
      </c>
      <c r="G4" s="39">
        <v>7</v>
      </c>
      <c r="H4" s="39">
        <v>8</v>
      </c>
    </row>
    <row r="5" spans="1:8" s="52" customFormat="1" ht="13.5" customHeight="1">
      <c r="A5" s="53" t="s">
        <v>469</v>
      </c>
      <c r="B5" s="47" t="s">
        <v>233</v>
      </c>
      <c r="C5" s="7"/>
      <c r="D5" s="7"/>
      <c r="E5" s="7"/>
      <c r="F5" s="7"/>
      <c r="G5" s="7"/>
      <c r="H5" s="7"/>
    </row>
    <row r="6" spans="1:8" s="52" customFormat="1" ht="13.5" customHeight="1">
      <c r="A6" s="42" t="s">
        <v>470</v>
      </c>
      <c r="B6" s="49" t="s">
        <v>471</v>
      </c>
      <c r="C6" s="54">
        <f>7926046578+2897123007+3363362865</f>
        <v>14186532450</v>
      </c>
      <c r="D6" s="54">
        <v>1612993763</v>
      </c>
      <c r="E6" s="54">
        <v>89985389965</v>
      </c>
      <c r="F6" s="54">
        <v>601756465</v>
      </c>
      <c r="G6" s="54"/>
      <c r="H6" s="54">
        <f aca="true" t="shared" si="0" ref="H6:H35">C6+D6+E6+F6+G6</f>
        <v>106386672643</v>
      </c>
    </row>
    <row r="7" spans="1:8" s="52" customFormat="1" ht="13.5" customHeight="1">
      <c r="A7" s="42" t="s">
        <v>472</v>
      </c>
      <c r="B7" s="49" t="s">
        <v>473</v>
      </c>
      <c r="C7" s="54">
        <f>SUM(C8:C12)</f>
        <v>0</v>
      </c>
      <c r="D7" s="54">
        <f>SUM(D8:D12)</f>
        <v>0</v>
      </c>
      <c r="E7" s="54">
        <f>SUM(E8:E12)</f>
        <v>7457139911</v>
      </c>
      <c r="F7" s="54">
        <f>SUM(F8:F12)</f>
        <v>20000000</v>
      </c>
      <c r="G7" s="54">
        <f>SUM(G8:G12)</f>
        <v>0</v>
      </c>
      <c r="H7" s="54">
        <f t="shared" si="0"/>
        <v>7477139911</v>
      </c>
    </row>
    <row r="8" spans="1:8" ht="13.5" customHeight="1">
      <c r="A8" s="48" t="s">
        <v>474</v>
      </c>
      <c r="B8" s="9" t="s">
        <v>29</v>
      </c>
      <c r="C8" s="12"/>
      <c r="D8" s="12"/>
      <c r="E8" s="12">
        <v>7457139911</v>
      </c>
      <c r="F8" s="12">
        <v>20000000</v>
      </c>
      <c r="G8" s="12"/>
      <c r="H8" s="54">
        <f t="shared" si="0"/>
        <v>7477139911</v>
      </c>
    </row>
    <row r="9" spans="1:8" ht="13.5" customHeight="1">
      <c r="A9" s="48" t="s">
        <v>475</v>
      </c>
      <c r="B9" s="9" t="s">
        <v>31</v>
      </c>
      <c r="C9" s="12"/>
      <c r="D9" s="12"/>
      <c r="E9" s="12"/>
      <c r="F9" s="12"/>
      <c r="G9" s="12">
        <v>0</v>
      </c>
      <c r="H9" s="54">
        <f t="shared" si="0"/>
        <v>0</v>
      </c>
    </row>
    <row r="10" spans="1:8" ht="13.5" customHeight="1">
      <c r="A10" s="48" t="s">
        <v>476</v>
      </c>
      <c r="B10" s="9" t="s">
        <v>33</v>
      </c>
      <c r="C10" s="12"/>
      <c r="D10" s="12"/>
      <c r="E10" s="12"/>
      <c r="F10" s="12"/>
      <c r="G10" s="12"/>
      <c r="H10" s="54">
        <f t="shared" si="0"/>
        <v>0</v>
      </c>
    </row>
    <row r="11" spans="1:8" ht="13.5" customHeight="1">
      <c r="A11" s="48" t="s">
        <v>477</v>
      </c>
      <c r="B11" s="9" t="s">
        <v>36</v>
      </c>
      <c r="C11" s="12"/>
      <c r="D11" s="12"/>
      <c r="E11" s="12"/>
      <c r="F11" s="12"/>
      <c r="G11" s="12"/>
      <c r="H11" s="54">
        <f t="shared" si="0"/>
        <v>0</v>
      </c>
    </row>
    <row r="12" spans="1:8" ht="13.5" customHeight="1">
      <c r="A12" s="48" t="s">
        <v>478</v>
      </c>
      <c r="B12" s="9" t="s">
        <v>38</v>
      </c>
      <c r="C12" s="12"/>
      <c r="D12" s="12"/>
      <c r="E12" s="12"/>
      <c r="F12" s="12"/>
      <c r="G12" s="12"/>
      <c r="H12" s="54">
        <f t="shared" si="0"/>
        <v>0</v>
      </c>
    </row>
    <row r="13" spans="1:8" s="52" customFormat="1" ht="13.5" customHeight="1">
      <c r="A13" s="42" t="s">
        <v>479</v>
      </c>
      <c r="B13" s="49" t="s">
        <v>480</v>
      </c>
      <c r="C13" s="54">
        <f aca="true" t="shared" si="1" ref="C13:H13">SUM(C14:C18)</f>
        <v>0</v>
      </c>
      <c r="D13" s="54">
        <f t="shared" si="1"/>
        <v>0</v>
      </c>
      <c r="E13" s="54">
        <f t="shared" si="1"/>
        <v>0</v>
      </c>
      <c r="F13" s="54">
        <f t="shared" si="1"/>
        <v>0</v>
      </c>
      <c r="G13" s="54">
        <f t="shared" si="1"/>
        <v>0</v>
      </c>
      <c r="H13" s="54">
        <f t="shared" si="1"/>
        <v>0</v>
      </c>
    </row>
    <row r="14" spans="1:8" ht="13.5" customHeight="1">
      <c r="A14" s="48" t="s">
        <v>481</v>
      </c>
      <c r="B14" s="9" t="s">
        <v>45</v>
      </c>
      <c r="C14" s="12"/>
      <c r="D14" s="12"/>
      <c r="E14" s="12"/>
      <c r="F14" s="12"/>
      <c r="G14" s="12"/>
      <c r="H14" s="54">
        <f t="shared" si="0"/>
        <v>0</v>
      </c>
    </row>
    <row r="15" spans="1:8" ht="13.5" customHeight="1">
      <c r="A15" s="48" t="s">
        <v>482</v>
      </c>
      <c r="B15" s="9" t="s">
        <v>483</v>
      </c>
      <c r="C15" s="12"/>
      <c r="D15" s="12"/>
      <c r="E15" s="12"/>
      <c r="F15" s="12"/>
      <c r="G15" s="12"/>
      <c r="H15" s="54">
        <f t="shared" si="0"/>
        <v>0</v>
      </c>
    </row>
    <row r="16" spans="1:8" ht="13.5" customHeight="1">
      <c r="A16" s="48" t="s">
        <v>476</v>
      </c>
      <c r="B16" s="9" t="s">
        <v>484</v>
      </c>
      <c r="C16" s="12"/>
      <c r="D16" s="12"/>
      <c r="E16" s="12"/>
      <c r="F16" s="12"/>
      <c r="G16" s="12"/>
      <c r="H16" s="54">
        <f t="shared" si="0"/>
        <v>0</v>
      </c>
    </row>
    <row r="17" spans="1:8" ht="13.5" customHeight="1">
      <c r="A17" s="48" t="s">
        <v>477</v>
      </c>
      <c r="B17" s="9" t="s">
        <v>485</v>
      </c>
      <c r="C17" s="12"/>
      <c r="D17" s="12"/>
      <c r="E17" s="12"/>
      <c r="F17" s="12"/>
      <c r="G17" s="12"/>
      <c r="H17" s="54">
        <f t="shared" si="0"/>
        <v>0</v>
      </c>
    </row>
    <row r="18" spans="1:8" ht="13.5" customHeight="1">
      <c r="A18" s="48" t="s">
        <v>486</v>
      </c>
      <c r="B18" s="9" t="s">
        <v>487</v>
      </c>
      <c r="C18" s="12"/>
      <c r="D18" s="12"/>
      <c r="E18" s="12"/>
      <c r="F18" s="12"/>
      <c r="G18" s="12"/>
      <c r="H18" s="54">
        <f t="shared" si="0"/>
        <v>0</v>
      </c>
    </row>
    <row r="19" spans="1:8" s="52" customFormat="1" ht="13.5" customHeight="1">
      <c r="A19" s="42" t="s">
        <v>488</v>
      </c>
      <c r="B19" s="49" t="s">
        <v>489</v>
      </c>
      <c r="C19" s="54">
        <f>C6+C7-C13</f>
        <v>14186532450</v>
      </c>
      <c r="D19" s="54">
        <f>D6+D7-D13</f>
        <v>1612993763</v>
      </c>
      <c r="E19" s="54">
        <f>E6+E7-E13</f>
        <v>97442529876</v>
      </c>
      <c r="F19" s="54">
        <f>F6+F7-F13</f>
        <v>621756465</v>
      </c>
      <c r="G19" s="54"/>
      <c r="H19" s="54">
        <f>C19+D19+E19+F19+G19</f>
        <v>113863812554</v>
      </c>
    </row>
    <row r="20" spans="1:8" s="52" customFormat="1" ht="13.5" customHeight="1">
      <c r="A20" s="56" t="s">
        <v>490</v>
      </c>
      <c r="B20" s="49" t="s">
        <v>491</v>
      </c>
      <c r="C20" s="10"/>
      <c r="D20" s="10"/>
      <c r="E20" s="10"/>
      <c r="F20" s="10"/>
      <c r="G20" s="10"/>
      <c r="H20" s="54"/>
    </row>
    <row r="21" spans="1:8" s="52" customFormat="1" ht="13.5" customHeight="1">
      <c r="A21" s="42" t="s">
        <v>470</v>
      </c>
      <c r="B21" s="49" t="s">
        <v>492</v>
      </c>
      <c r="C21" s="54">
        <v>3946209354</v>
      </c>
      <c r="D21" s="54">
        <v>577054253</v>
      </c>
      <c r="E21" s="54">
        <v>53932933387</v>
      </c>
      <c r="F21" s="54">
        <v>397930893</v>
      </c>
      <c r="G21" s="54"/>
      <c r="H21" s="54">
        <f t="shared" si="0"/>
        <v>58854127887</v>
      </c>
    </row>
    <row r="22" spans="1:8" s="52" customFormat="1" ht="13.5" customHeight="1">
      <c r="A22" s="42" t="s">
        <v>472</v>
      </c>
      <c r="B22" s="49" t="s">
        <v>493</v>
      </c>
      <c r="C22" s="54">
        <f aca="true" t="shared" si="2" ref="C22:H22">C23</f>
        <v>234154932</v>
      </c>
      <c r="D22" s="54">
        <f t="shared" si="2"/>
        <v>60080601</v>
      </c>
      <c r="E22" s="54">
        <f t="shared" si="2"/>
        <v>2708983421</v>
      </c>
      <c r="F22" s="54">
        <f t="shared" si="2"/>
        <v>24326880</v>
      </c>
      <c r="G22" s="54">
        <f t="shared" si="2"/>
        <v>0</v>
      </c>
      <c r="H22" s="54">
        <f t="shared" si="2"/>
        <v>3027545834</v>
      </c>
    </row>
    <row r="23" spans="1:8" ht="13.5" customHeight="1">
      <c r="A23" s="48" t="s">
        <v>494</v>
      </c>
      <c r="B23" s="9" t="s">
        <v>495</v>
      </c>
      <c r="C23" s="12">
        <f>108864231+45966894+79323807</f>
        <v>234154932</v>
      </c>
      <c r="D23" s="12">
        <f>12546081+11975001+35559519</f>
        <v>60080601</v>
      </c>
      <c r="E23" s="12">
        <f>2708983421</f>
        <v>2708983421</v>
      </c>
      <c r="F23" s="12">
        <f>21983721+2343159</f>
        <v>24326880</v>
      </c>
      <c r="G23" s="12"/>
      <c r="H23" s="54">
        <f t="shared" si="0"/>
        <v>3027545834</v>
      </c>
    </row>
    <row r="24" spans="1:8" ht="13.5" customHeight="1">
      <c r="A24" s="48" t="s">
        <v>476</v>
      </c>
      <c r="B24" s="9" t="s">
        <v>496</v>
      </c>
      <c r="C24" s="12"/>
      <c r="D24" s="12"/>
      <c r="E24" s="12"/>
      <c r="F24" s="12"/>
      <c r="G24" s="12"/>
      <c r="H24" s="54">
        <f t="shared" si="0"/>
        <v>0</v>
      </c>
    </row>
    <row r="25" spans="1:8" ht="13.5" customHeight="1">
      <c r="A25" s="48" t="s">
        <v>477</v>
      </c>
      <c r="B25" s="9" t="s">
        <v>497</v>
      </c>
      <c r="C25" s="12"/>
      <c r="D25" s="12"/>
      <c r="E25" s="12"/>
      <c r="F25" s="12"/>
      <c r="G25" s="12"/>
      <c r="H25" s="54">
        <f t="shared" si="0"/>
        <v>0</v>
      </c>
    </row>
    <row r="26" spans="1:8" ht="13.5" customHeight="1">
      <c r="A26" s="48" t="s">
        <v>478</v>
      </c>
      <c r="B26" s="9" t="s">
        <v>498</v>
      </c>
      <c r="C26" s="12"/>
      <c r="D26" s="12"/>
      <c r="E26" s="12"/>
      <c r="F26" s="12"/>
      <c r="G26" s="12"/>
      <c r="H26" s="54">
        <f t="shared" si="0"/>
        <v>0</v>
      </c>
    </row>
    <row r="27" spans="1:8" s="52" customFormat="1" ht="13.5" customHeight="1">
      <c r="A27" s="42" t="s">
        <v>479</v>
      </c>
      <c r="B27" s="49" t="s">
        <v>499</v>
      </c>
      <c r="C27" s="54">
        <f aca="true" t="shared" si="3" ref="C27:H27">SUM(C28:C32)</f>
        <v>0</v>
      </c>
      <c r="D27" s="54">
        <f t="shared" si="3"/>
        <v>0</v>
      </c>
      <c r="E27" s="54">
        <f t="shared" si="3"/>
        <v>0</v>
      </c>
      <c r="F27" s="54">
        <f t="shared" si="3"/>
        <v>0</v>
      </c>
      <c r="G27" s="54">
        <f t="shared" si="3"/>
        <v>0</v>
      </c>
      <c r="H27" s="54">
        <f t="shared" si="3"/>
        <v>0</v>
      </c>
    </row>
    <row r="28" spans="1:8" ht="13.5" customHeight="1">
      <c r="A28" s="48" t="s">
        <v>481</v>
      </c>
      <c r="B28" s="9" t="s">
        <v>500</v>
      </c>
      <c r="C28" s="12"/>
      <c r="D28" s="12"/>
      <c r="E28" s="12"/>
      <c r="F28" s="12"/>
      <c r="G28" s="12"/>
      <c r="H28" s="54">
        <f t="shared" si="0"/>
        <v>0</v>
      </c>
    </row>
    <row r="29" spans="1:8" ht="13.5" customHeight="1">
      <c r="A29" s="48" t="s">
        <v>482</v>
      </c>
      <c r="B29" s="9" t="s">
        <v>501</v>
      </c>
      <c r="C29" s="12"/>
      <c r="D29" s="12"/>
      <c r="E29" s="12"/>
      <c r="F29" s="12"/>
      <c r="G29" s="12"/>
      <c r="H29" s="54">
        <f t="shared" si="0"/>
        <v>0</v>
      </c>
    </row>
    <row r="30" spans="1:8" ht="13.5" customHeight="1">
      <c r="A30" s="48" t="s">
        <v>476</v>
      </c>
      <c r="B30" s="9" t="s">
        <v>502</v>
      </c>
      <c r="C30" s="12"/>
      <c r="D30" s="12"/>
      <c r="E30" s="12"/>
      <c r="F30" s="12"/>
      <c r="G30" s="12"/>
      <c r="H30" s="54">
        <f t="shared" si="0"/>
        <v>0</v>
      </c>
    </row>
    <row r="31" spans="1:8" ht="13.5" customHeight="1">
      <c r="A31" s="48" t="s">
        <v>477</v>
      </c>
      <c r="B31" s="9" t="s">
        <v>503</v>
      </c>
      <c r="C31" s="12"/>
      <c r="D31" s="12"/>
      <c r="E31" s="12"/>
      <c r="F31" s="12"/>
      <c r="G31" s="12"/>
      <c r="H31" s="54">
        <f t="shared" si="0"/>
        <v>0</v>
      </c>
    </row>
    <row r="32" spans="1:8" ht="13.5" customHeight="1">
      <c r="A32" s="48" t="s">
        <v>486</v>
      </c>
      <c r="B32" s="9" t="s">
        <v>504</v>
      </c>
      <c r="C32" s="12"/>
      <c r="D32" s="12"/>
      <c r="E32" s="12"/>
      <c r="F32" s="12"/>
      <c r="G32" s="12"/>
      <c r="H32" s="54">
        <f t="shared" si="0"/>
        <v>0</v>
      </c>
    </row>
    <row r="33" spans="1:8" s="52" customFormat="1" ht="13.5" customHeight="1">
      <c r="A33" s="42" t="s">
        <v>488</v>
      </c>
      <c r="B33" s="49" t="s">
        <v>235</v>
      </c>
      <c r="C33" s="54">
        <f>C21+C22-C27</f>
        <v>4180364286</v>
      </c>
      <c r="D33" s="54">
        <f>D21+D22-D27</f>
        <v>637134854</v>
      </c>
      <c r="E33" s="54">
        <f>E21+E22-E27</f>
        <v>56641916808</v>
      </c>
      <c r="F33" s="54">
        <f>F21+F22-F27</f>
        <v>422257773</v>
      </c>
      <c r="G33" s="54">
        <f>G21+G22-G27</f>
        <v>0</v>
      </c>
      <c r="H33" s="54">
        <f t="shared" si="0"/>
        <v>61881673721</v>
      </c>
    </row>
    <row r="34" spans="1:8" s="52" customFormat="1" ht="13.5" customHeight="1">
      <c r="A34" s="56" t="s">
        <v>505</v>
      </c>
      <c r="B34" s="49" t="s">
        <v>237</v>
      </c>
      <c r="C34" s="54"/>
      <c r="D34" s="54"/>
      <c r="E34" s="54"/>
      <c r="F34" s="54"/>
      <c r="G34" s="54"/>
      <c r="H34" s="54">
        <f t="shared" si="0"/>
        <v>0</v>
      </c>
    </row>
    <row r="35" spans="1:8" ht="13.5" customHeight="1">
      <c r="A35" s="48" t="s">
        <v>506</v>
      </c>
      <c r="B35" s="9" t="s">
        <v>240</v>
      </c>
      <c r="C35" s="12">
        <f>C6-C21</f>
        <v>10240323096</v>
      </c>
      <c r="D35" s="12">
        <f>D6-D21</f>
        <v>1035939510</v>
      </c>
      <c r="E35" s="12">
        <f>E6-E21</f>
        <v>36052456578</v>
      </c>
      <c r="F35" s="12">
        <f>F6-F21</f>
        <v>203825572</v>
      </c>
      <c r="G35" s="12">
        <f>G6-G21</f>
        <v>0</v>
      </c>
      <c r="H35" s="54">
        <f t="shared" si="0"/>
        <v>47532544756</v>
      </c>
    </row>
    <row r="36" spans="1:8" ht="13.5" customHeight="1">
      <c r="A36" s="57" t="s">
        <v>507</v>
      </c>
      <c r="B36" s="17" t="s">
        <v>243</v>
      </c>
      <c r="C36" s="18">
        <f aca="true" t="shared" si="4" ref="C36:H36">C19-C33</f>
        <v>10006168164</v>
      </c>
      <c r="D36" s="18">
        <f t="shared" si="4"/>
        <v>975858909</v>
      </c>
      <c r="E36" s="18">
        <f t="shared" si="4"/>
        <v>40800613068</v>
      </c>
      <c r="F36" s="18">
        <f t="shared" si="4"/>
        <v>199498692</v>
      </c>
      <c r="G36" s="18">
        <f t="shared" si="4"/>
        <v>0</v>
      </c>
      <c r="H36" s="18">
        <f t="shared" si="4"/>
        <v>51982138833</v>
      </c>
    </row>
    <row r="39" spans="6:8" ht="12.75">
      <c r="F39" s="85"/>
      <c r="H39" s="85"/>
    </row>
    <row r="40" spans="6:8" ht="12.75">
      <c r="F40" s="85"/>
      <c r="G40" s="85"/>
      <c r="H40" s="85"/>
    </row>
    <row r="41" ht="12.75">
      <c r="H41" s="85"/>
    </row>
    <row r="42" spans="7:8" ht="12.75">
      <c r="G42" s="85"/>
      <c r="H42" s="85"/>
    </row>
    <row r="44" ht="12.75">
      <c r="H44" s="85"/>
    </row>
    <row r="45" ht="12.75">
      <c r="H45" s="85"/>
    </row>
  </sheetData>
  <sheetProtection/>
  <printOptions/>
  <pageMargins left="0.5" right="0.5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25">
      <selection activeCell="I2" sqref="I2"/>
    </sheetView>
  </sheetViews>
  <sheetFormatPr defaultColWidth="9.140625" defaultRowHeight="12.75"/>
  <cols>
    <col min="1" max="1" width="37.28125" style="55" customWidth="1"/>
    <col min="2" max="2" width="8.7109375" style="55" customWidth="1"/>
    <col min="3" max="3" width="12.8515625" style="55" customWidth="1"/>
    <col min="4" max="4" width="12.00390625" style="55" customWidth="1"/>
    <col min="5" max="5" width="17.421875" style="55" customWidth="1"/>
    <col min="6" max="6" width="13.8515625" style="55" customWidth="1"/>
    <col min="7" max="7" width="11.421875" style="55" customWidth="1"/>
    <col min="8" max="8" width="9.57421875" style="55" customWidth="1"/>
    <col min="9" max="9" width="16.140625" style="55" customWidth="1"/>
    <col min="10" max="16384" width="9.140625" style="55" customWidth="1"/>
  </cols>
  <sheetData>
    <row r="1" s="36" customFormat="1" ht="15">
      <c r="A1" s="20" t="s">
        <v>516</v>
      </c>
    </row>
    <row r="2" s="36" customFormat="1" ht="15">
      <c r="I2" s="34" t="s">
        <v>2</v>
      </c>
    </row>
    <row r="3" spans="1:9" s="20" customFormat="1" ht="39" customHeight="1">
      <c r="A3" s="39" t="s">
        <v>461</v>
      </c>
      <c r="B3" s="39" t="s">
        <v>462</v>
      </c>
      <c r="C3" s="39" t="s">
        <v>463</v>
      </c>
      <c r="D3" s="39" t="s">
        <v>464</v>
      </c>
      <c r="E3" s="39" t="s">
        <v>509</v>
      </c>
      <c r="F3" s="39" t="s">
        <v>466</v>
      </c>
      <c r="G3" s="39" t="s">
        <v>467</v>
      </c>
      <c r="H3" s="39" t="s">
        <v>510</v>
      </c>
      <c r="I3" s="39" t="s">
        <v>468</v>
      </c>
    </row>
    <row r="4" spans="1:9" s="20" customFormat="1" ht="15" customHeight="1">
      <c r="A4" s="39">
        <v>1</v>
      </c>
      <c r="B4" s="39">
        <v>2</v>
      </c>
      <c r="C4" s="39">
        <v>3</v>
      </c>
      <c r="D4" s="39">
        <v>4</v>
      </c>
      <c r="E4" s="39">
        <v>5</v>
      </c>
      <c r="F4" s="39">
        <v>6</v>
      </c>
      <c r="G4" s="39">
        <v>7</v>
      </c>
      <c r="H4" s="39">
        <v>8</v>
      </c>
      <c r="I4" s="39">
        <v>9</v>
      </c>
    </row>
    <row r="5" spans="1:9" ht="13.5" customHeight="1">
      <c r="A5" s="58" t="s">
        <v>511</v>
      </c>
      <c r="B5" s="59" t="s">
        <v>233</v>
      </c>
      <c r="C5" s="59"/>
      <c r="D5" s="59"/>
      <c r="E5" s="59"/>
      <c r="F5" s="59"/>
      <c r="G5" s="59"/>
      <c r="H5" s="59"/>
      <c r="I5" s="59"/>
    </row>
    <row r="6" spans="1:9" ht="13.5" customHeight="1">
      <c r="A6" s="46" t="s">
        <v>470</v>
      </c>
      <c r="B6" s="47" t="s">
        <v>471</v>
      </c>
      <c r="C6" s="7"/>
      <c r="D6" s="7"/>
      <c r="E6" s="7"/>
      <c r="F6" s="7"/>
      <c r="G6" s="7"/>
      <c r="H6" s="7"/>
      <c r="I6" s="7"/>
    </row>
    <row r="7" spans="1:9" ht="13.5" customHeight="1">
      <c r="A7" s="42" t="s">
        <v>472</v>
      </c>
      <c r="B7" s="49" t="s">
        <v>473</v>
      </c>
      <c r="C7" s="54"/>
      <c r="D7" s="54"/>
      <c r="E7" s="54"/>
      <c r="F7" s="54"/>
      <c r="G7" s="54"/>
      <c r="H7" s="54"/>
      <c r="I7" s="7"/>
    </row>
    <row r="8" spans="1:9" ht="13.5" customHeight="1">
      <c r="A8" s="48" t="s">
        <v>512</v>
      </c>
      <c r="B8" s="9" t="s">
        <v>29</v>
      </c>
      <c r="C8" s="60"/>
      <c r="D8" s="60"/>
      <c r="E8" s="60"/>
      <c r="F8" s="60"/>
      <c r="G8" s="60"/>
      <c r="H8" s="60"/>
      <c r="I8" s="61"/>
    </row>
    <row r="9" spans="1:9" ht="13.5" customHeight="1">
      <c r="A9" s="48" t="s">
        <v>476</v>
      </c>
      <c r="B9" s="9" t="s">
        <v>31</v>
      </c>
      <c r="C9" s="12"/>
      <c r="D9" s="12"/>
      <c r="E9" s="12"/>
      <c r="F9" s="12"/>
      <c r="G9" s="54"/>
      <c r="H9" s="54"/>
      <c r="I9" s="7"/>
    </row>
    <row r="10" spans="1:9" ht="13.5" customHeight="1">
      <c r="A10" s="48" t="s">
        <v>477</v>
      </c>
      <c r="B10" s="9" t="s">
        <v>33</v>
      </c>
      <c r="C10" s="12"/>
      <c r="D10" s="12"/>
      <c r="E10" s="12"/>
      <c r="F10" s="12"/>
      <c r="G10" s="54"/>
      <c r="H10" s="54"/>
      <c r="I10" s="7"/>
    </row>
    <row r="11" spans="1:9" ht="13.5" customHeight="1">
      <c r="A11" s="48" t="s">
        <v>478</v>
      </c>
      <c r="B11" s="9" t="s">
        <v>36</v>
      </c>
      <c r="C11" s="12"/>
      <c r="D11" s="12"/>
      <c r="E11" s="12"/>
      <c r="F11" s="12"/>
      <c r="G11" s="54"/>
      <c r="H11" s="54"/>
      <c r="I11" s="7"/>
    </row>
    <row r="12" spans="1:9" s="52" customFormat="1" ht="13.5" customHeight="1">
      <c r="A12" s="42" t="s">
        <v>479</v>
      </c>
      <c r="B12" s="49" t="s">
        <v>480</v>
      </c>
      <c r="C12" s="10"/>
      <c r="D12" s="10"/>
      <c r="E12" s="10"/>
      <c r="F12" s="10"/>
      <c r="G12" s="54"/>
      <c r="H12" s="54"/>
      <c r="I12" s="7"/>
    </row>
    <row r="13" spans="1:9" ht="13.5" customHeight="1">
      <c r="A13" s="48" t="s">
        <v>513</v>
      </c>
      <c r="B13" s="9" t="s">
        <v>45</v>
      </c>
      <c r="C13" s="12"/>
      <c r="D13" s="12"/>
      <c r="E13" s="12"/>
      <c r="F13" s="12"/>
      <c r="G13" s="54"/>
      <c r="H13" s="54"/>
      <c r="I13" s="7"/>
    </row>
    <row r="14" spans="1:9" ht="13.5" customHeight="1">
      <c r="A14" s="48" t="s">
        <v>514</v>
      </c>
      <c r="B14" s="9" t="s">
        <v>483</v>
      </c>
      <c r="C14" s="60"/>
      <c r="D14" s="60"/>
      <c r="E14" s="60"/>
      <c r="F14" s="60"/>
      <c r="G14" s="60"/>
      <c r="H14" s="60"/>
      <c r="I14" s="61"/>
    </row>
    <row r="15" spans="1:9" ht="13.5" customHeight="1">
      <c r="A15" s="48" t="s">
        <v>476</v>
      </c>
      <c r="B15" s="9" t="s">
        <v>484</v>
      </c>
      <c r="C15" s="12"/>
      <c r="D15" s="12"/>
      <c r="E15" s="12"/>
      <c r="F15" s="12"/>
      <c r="G15" s="54"/>
      <c r="H15" s="54"/>
      <c r="I15" s="7"/>
    </row>
    <row r="16" spans="1:9" ht="13.5" customHeight="1">
      <c r="A16" s="48" t="s">
        <v>477</v>
      </c>
      <c r="B16" s="9" t="s">
        <v>485</v>
      </c>
      <c r="C16" s="12"/>
      <c r="D16" s="12"/>
      <c r="E16" s="12"/>
      <c r="F16" s="12"/>
      <c r="G16" s="54"/>
      <c r="H16" s="54"/>
      <c r="I16" s="7"/>
    </row>
    <row r="17" spans="1:9" ht="13.5" customHeight="1">
      <c r="A17" s="48" t="s">
        <v>486</v>
      </c>
      <c r="B17" s="9" t="s">
        <v>487</v>
      </c>
      <c r="C17" s="12"/>
      <c r="D17" s="12"/>
      <c r="E17" s="12"/>
      <c r="F17" s="12"/>
      <c r="G17" s="54"/>
      <c r="H17" s="54"/>
      <c r="I17" s="7"/>
    </row>
    <row r="18" spans="1:9" s="52" customFormat="1" ht="13.5" customHeight="1">
      <c r="A18" s="42" t="s">
        <v>488</v>
      </c>
      <c r="B18" s="49" t="s">
        <v>489</v>
      </c>
      <c r="C18" s="10"/>
      <c r="D18" s="10"/>
      <c r="E18" s="10"/>
      <c r="F18" s="10"/>
      <c r="G18" s="54"/>
      <c r="H18" s="54"/>
      <c r="I18" s="7"/>
    </row>
    <row r="19" spans="1:9" s="52" customFormat="1" ht="13.5" customHeight="1">
      <c r="A19" s="56" t="s">
        <v>490</v>
      </c>
      <c r="B19" s="49" t="s">
        <v>491</v>
      </c>
      <c r="C19" s="10"/>
      <c r="D19" s="10"/>
      <c r="E19" s="10"/>
      <c r="F19" s="10"/>
      <c r="G19" s="54"/>
      <c r="H19" s="54"/>
      <c r="I19" s="7"/>
    </row>
    <row r="20" spans="1:9" ht="13.5" customHeight="1">
      <c r="A20" s="42" t="s">
        <v>470</v>
      </c>
      <c r="B20" s="49" t="s">
        <v>492</v>
      </c>
      <c r="C20" s="54"/>
      <c r="D20" s="54"/>
      <c r="E20" s="54"/>
      <c r="F20" s="54"/>
      <c r="G20" s="54"/>
      <c r="H20" s="54"/>
      <c r="I20" s="7"/>
    </row>
    <row r="21" spans="1:9" ht="13.5" customHeight="1">
      <c r="A21" s="42" t="s">
        <v>472</v>
      </c>
      <c r="B21" s="49" t="s">
        <v>493</v>
      </c>
      <c r="C21" s="10"/>
      <c r="D21" s="10"/>
      <c r="E21" s="10"/>
      <c r="F21" s="10"/>
      <c r="G21" s="54"/>
      <c r="H21" s="54"/>
      <c r="I21" s="7"/>
    </row>
    <row r="22" spans="1:9" ht="13.5" customHeight="1">
      <c r="A22" s="48" t="s">
        <v>494</v>
      </c>
      <c r="B22" s="9" t="s">
        <v>495</v>
      </c>
      <c r="C22" s="60"/>
      <c r="D22" s="60"/>
      <c r="E22" s="60"/>
      <c r="F22" s="60"/>
      <c r="G22" s="60"/>
      <c r="H22" s="60"/>
      <c r="I22" s="61"/>
    </row>
    <row r="23" spans="1:9" ht="13.5" customHeight="1">
      <c r="A23" s="48" t="s">
        <v>476</v>
      </c>
      <c r="B23" s="9" t="s">
        <v>496</v>
      </c>
      <c r="C23" s="60"/>
      <c r="D23" s="60"/>
      <c r="E23" s="60"/>
      <c r="F23" s="60"/>
      <c r="G23" s="60"/>
      <c r="H23" s="60"/>
      <c r="I23" s="61"/>
    </row>
    <row r="24" spans="1:9" ht="13.5" customHeight="1">
      <c r="A24" s="48" t="s">
        <v>477</v>
      </c>
      <c r="B24" s="9" t="s">
        <v>497</v>
      </c>
      <c r="C24" s="12"/>
      <c r="D24" s="12"/>
      <c r="E24" s="12"/>
      <c r="F24" s="12"/>
      <c r="G24" s="54"/>
      <c r="H24" s="54"/>
      <c r="I24" s="7"/>
    </row>
    <row r="25" spans="1:9" ht="13.5" customHeight="1">
      <c r="A25" s="48" t="s">
        <v>478</v>
      </c>
      <c r="B25" s="9" t="s">
        <v>498</v>
      </c>
      <c r="C25" s="12"/>
      <c r="D25" s="12"/>
      <c r="E25" s="12"/>
      <c r="F25" s="12"/>
      <c r="G25" s="54"/>
      <c r="H25" s="54"/>
      <c r="I25" s="7"/>
    </row>
    <row r="26" spans="1:9" s="52" customFormat="1" ht="13.5" customHeight="1">
      <c r="A26" s="42" t="s">
        <v>479</v>
      </c>
      <c r="B26" s="49" t="s">
        <v>499</v>
      </c>
      <c r="C26" s="10"/>
      <c r="D26" s="10"/>
      <c r="E26" s="10"/>
      <c r="F26" s="10"/>
      <c r="G26" s="54"/>
      <c r="H26" s="54"/>
      <c r="I26" s="7"/>
    </row>
    <row r="27" spans="1:9" ht="13.5" customHeight="1">
      <c r="A27" s="48" t="s">
        <v>513</v>
      </c>
      <c r="B27" s="9" t="s">
        <v>500</v>
      </c>
      <c r="C27" s="12"/>
      <c r="D27" s="12"/>
      <c r="E27" s="12"/>
      <c r="F27" s="12"/>
      <c r="G27" s="54"/>
      <c r="H27" s="54"/>
      <c r="I27" s="7"/>
    </row>
    <row r="28" spans="1:9" ht="13.5" customHeight="1">
      <c r="A28" s="48" t="s">
        <v>514</v>
      </c>
      <c r="B28" s="9" t="s">
        <v>501</v>
      </c>
      <c r="C28" s="60"/>
      <c r="D28" s="60"/>
      <c r="E28" s="60"/>
      <c r="F28" s="60"/>
      <c r="G28" s="60"/>
      <c r="H28" s="60"/>
      <c r="I28" s="61"/>
    </row>
    <row r="29" spans="1:9" ht="13.5" customHeight="1">
      <c r="A29" s="48" t="s">
        <v>476</v>
      </c>
      <c r="B29" s="9" t="s">
        <v>502</v>
      </c>
      <c r="C29" s="12"/>
      <c r="D29" s="12"/>
      <c r="E29" s="12"/>
      <c r="F29" s="12"/>
      <c r="G29" s="54"/>
      <c r="H29" s="54"/>
      <c r="I29" s="7"/>
    </row>
    <row r="30" spans="1:9" ht="13.5" customHeight="1">
      <c r="A30" s="48" t="s">
        <v>477</v>
      </c>
      <c r="B30" s="9" t="s">
        <v>503</v>
      </c>
      <c r="C30" s="12"/>
      <c r="D30" s="12"/>
      <c r="E30" s="12"/>
      <c r="F30" s="12"/>
      <c r="G30" s="54"/>
      <c r="H30" s="54"/>
      <c r="I30" s="7"/>
    </row>
    <row r="31" spans="1:9" ht="13.5" customHeight="1">
      <c r="A31" s="48" t="s">
        <v>486</v>
      </c>
      <c r="B31" s="9" t="s">
        <v>504</v>
      </c>
      <c r="C31" s="12"/>
      <c r="D31" s="12"/>
      <c r="E31" s="12"/>
      <c r="F31" s="12"/>
      <c r="G31" s="54"/>
      <c r="H31" s="54"/>
      <c r="I31" s="7"/>
    </row>
    <row r="32" spans="1:9" s="52" customFormat="1" ht="13.5" customHeight="1">
      <c r="A32" s="42" t="s">
        <v>488</v>
      </c>
      <c r="B32" s="49" t="s">
        <v>235</v>
      </c>
      <c r="C32" s="10"/>
      <c r="D32" s="10"/>
      <c r="E32" s="10"/>
      <c r="F32" s="10"/>
      <c r="G32" s="54"/>
      <c r="H32" s="54"/>
      <c r="I32" s="7"/>
    </row>
    <row r="33" spans="1:9" s="52" customFormat="1" ht="13.5" customHeight="1">
      <c r="A33" s="56" t="s">
        <v>515</v>
      </c>
      <c r="B33" s="49" t="s">
        <v>240</v>
      </c>
      <c r="C33" s="10"/>
      <c r="D33" s="10"/>
      <c r="E33" s="10"/>
      <c r="F33" s="10"/>
      <c r="G33" s="54"/>
      <c r="H33" s="54"/>
      <c r="I33" s="7"/>
    </row>
    <row r="34" spans="1:9" ht="13.5" customHeight="1">
      <c r="A34" s="48" t="s">
        <v>506</v>
      </c>
      <c r="B34" s="9" t="s">
        <v>80</v>
      </c>
      <c r="C34" s="60"/>
      <c r="D34" s="60"/>
      <c r="E34" s="60"/>
      <c r="F34" s="60"/>
      <c r="G34" s="60"/>
      <c r="H34" s="60"/>
      <c r="I34" s="61"/>
    </row>
    <row r="35" spans="1:9" ht="13.5" customHeight="1">
      <c r="A35" s="57" t="s">
        <v>507</v>
      </c>
      <c r="B35" s="17" t="s">
        <v>83</v>
      </c>
      <c r="C35" s="62"/>
      <c r="D35" s="62"/>
      <c r="E35" s="62"/>
      <c r="F35" s="62"/>
      <c r="G35" s="62"/>
      <c r="H35" s="62"/>
      <c r="I35" s="18"/>
    </row>
    <row r="36" ht="15" customHeight="1"/>
  </sheetData>
  <sheetProtection/>
  <printOptions/>
  <pageMargins left="0.5" right="0.5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6">
      <selection activeCell="C24" sqref="C24"/>
    </sheetView>
  </sheetViews>
  <sheetFormatPr defaultColWidth="9.140625" defaultRowHeight="12.75"/>
  <cols>
    <col min="1" max="1" width="35.140625" style="21" customWidth="1"/>
    <col min="2" max="2" width="8.7109375" style="21" bestFit="1" customWidth="1"/>
    <col min="3" max="3" width="16.8515625" style="21" bestFit="1" customWidth="1"/>
    <col min="4" max="4" width="14.7109375" style="21" customWidth="1"/>
    <col min="5" max="5" width="16.421875" style="21" customWidth="1"/>
    <col min="6" max="6" width="14.57421875" style="21" bestFit="1" customWidth="1"/>
    <col min="7" max="7" width="15.7109375" style="21" bestFit="1" customWidth="1"/>
    <col min="8" max="8" width="16.8515625" style="21" bestFit="1" customWidth="1"/>
    <col min="9" max="16384" width="9.140625" style="21" customWidth="1"/>
  </cols>
  <sheetData>
    <row r="1" s="36" customFormat="1" ht="15">
      <c r="A1" s="20" t="s">
        <v>528</v>
      </c>
    </row>
    <row r="2" s="36" customFormat="1" ht="15">
      <c r="H2" s="34" t="s">
        <v>2</v>
      </c>
    </row>
    <row r="3" spans="1:8" s="20" customFormat="1" ht="28.5">
      <c r="A3" s="39" t="s">
        <v>461</v>
      </c>
      <c r="B3" s="39" t="s">
        <v>462</v>
      </c>
      <c r="C3" s="39" t="s">
        <v>517</v>
      </c>
      <c r="D3" s="39" t="s">
        <v>518</v>
      </c>
      <c r="E3" s="39" t="s">
        <v>519</v>
      </c>
      <c r="F3" s="39" t="s">
        <v>520</v>
      </c>
      <c r="G3" s="39" t="s">
        <v>521</v>
      </c>
      <c r="H3" s="39" t="s">
        <v>468</v>
      </c>
    </row>
    <row r="4" spans="1:8" s="20" customFormat="1" ht="14.25">
      <c r="A4" s="39">
        <v>1</v>
      </c>
      <c r="B4" s="39">
        <v>2</v>
      </c>
      <c r="C4" s="39">
        <v>3</v>
      </c>
      <c r="D4" s="39">
        <v>4</v>
      </c>
      <c r="E4" s="39">
        <v>5</v>
      </c>
      <c r="F4" s="39">
        <v>6</v>
      </c>
      <c r="G4" s="39">
        <v>7</v>
      </c>
      <c r="H4" s="39">
        <v>8</v>
      </c>
    </row>
    <row r="5" spans="1:8" s="23" customFormat="1" ht="13.5" customHeight="1">
      <c r="A5" s="53" t="s">
        <v>522</v>
      </c>
      <c r="B5" s="63" t="s">
        <v>233</v>
      </c>
      <c r="C5" s="64"/>
      <c r="D5" s="64"/>
      <c r="E5" s="64"/>
      <c r="F5" s="64"/>
      <c r="G5" s="64"/>
      <c r="H5" s="64"/>
    </row>
    <row r="6" spans="1:8" s="23" customFormat="1" ht="13.5" customHeight="1">
      <c r="A6" s="42" t="s">
        <v>470</v>
      </c>
      <c r="B6" s="49" t="s">
        <v>471</v>
      </c>
      <c r="C6" s="10">
        <v>177480000</v>
      </c>
      <c r="D6" s="10"/>
      <c r="E6" s="10"/>
      <c r="F6" s="10"/>
      <c r="G6" s="10"/>
      <c r="H6" s="10">
        <f>C6+D6+E6+F6+G6</f>
        <v>177480000</v>
      </c>
    </row>
    <row r="7" spans="1:8" s="23" customFormat="1" ht="13.5" customHeight="1">
      <c r="A7" s="42" t="s">
        <v>472</v>
      </c>
      <c r="B7" s="49" t="s">
        <v>473</v>
      </c>
      <c r="C7" s="10"/>
      <c r="D7" s="10"/>
      <c r="E7" s="10"/>
      <c r="F7" s="10"/>
      <c r="G7" s="10"/>
      <c r="H7" s="10">
        <f aca="true" t="shared" si="0" ref="H7:H35">C7+D7+E7+F7+G7</f>
        <v>0</v>
      </c>
    </row>
    <row r="8" spans="1:8" ht="13.5" customHeight="1">
      <c r="A8" s="48" t="s">
        <v>523</v>
      </c>
      <c r="B8" s="9" t="s">
        <v>29</v>
      </c>
      <c r="C8" s="12"/>
      <c r="D8" s="12"/>
      <c r="E8" s="12"/>
      <c r="F8" s="12"/>
      <c r="G8" s="12"/>
      <c r="H8" s="10">
        <f t="shared" si="0"/>
        <v>0</v>
      </c>
    </row>
    <row r="9" spans="1:8" ht="13.5" customHeight="1">
      <c r="A9" s="48" t="s">
        <v>524</v>
      </c>
      <c r="B9" s="9" t="s">
        <v>31</v>
      </c>
      <c r="C9" s="12"/>
      <c r="D9" s="12"/>
      <c r="E9" s="12"/>
      <c r="F9" s="12"/>
      <c r="G9" s="12"/>
      <c r="H9" s="10">
        <f t="shared" si="0"/>
        <v>0</v>
      </c>
    </row>
    <row r="10" spans="1:8" ht="13.5" customHeight="1">
      <c r="A10" s="48" t="s">
        <v>476</v>
      </c>
      <c r="B10" s="9" t="s">
        <v>33</v>
      </c>
      <c r="C10" s="12"/>
      <c r="D10" s="12"/>
      <c r="E10" s="12"/>
      <c r="F10" s="12"/>
      <c r="G10" s="12"/>
      <c r="H10" s="10">
        <f t="shared" si="0"/>
        <v>0</v>
      </c>
    </row>
    <row r="11" spans="1:8" ht="13.5" customHeight="1">
      <c r="A11" s="48" t="s">
        <v>477</v>
      </c>
      <c r="B11" s="9" t="s">
        <v>36</v>
      </c>
      <c r="C11" s="12"/>
      <c r="D11" s="12"/>
      <c r="E11" s="12"/>
      <c r="F11" s="12"/>
      <c r="G11" s="12"/>
      <c r="H11" s="10">
        <f t="shared" si="0"/>
        <v>0</v>
      </c>
    </row>
    <row r="12" spans="1:8" ht="13.5" customHeight="1">
      <c r="A12" s="41" t="s">
        <v>525</v>
      </c>
      <c r="B12" s="9" t="s">
        <v>38</v>
      </c>
      <c r="C12" s="12"/>
      <c r="D12" s="12"/>
      <c r="E12" s="12"/>
      <c r="F12" s="12"/>
      <c r="G12" s="12"/>
      <c r="H12" s="10">
        <f t="shared" si="0"/>
        <v>0</v>
      </c>
    </row>
    <row r="13" spans="1:8" ht="13.5" customHeight="1">
      <c r="A13" s="48" t="s">
        <v>478</v>
      </c>
      <c r="B13" s="9" t="s">
        <v>526</v>
      </c>
      <c r="C13" s="12"/>
      <c r="D13" s="12"/>
      <c r="E13" s="12"/>
      <c r="F13" s="12"/>
      <c r="G13" s="12"/>
      <c r="H13" s="10">
        <f t="shared" si="0"/>
        <v>0</v>
      </c>
    </row>
    <row r="14" spans="1:8" s="23" customFormat="1" ht="13.5" customHeight="1">
      <c r="A14" s="42" t="s">
        <v>479</v>
      </c>
      <c r="B14" s="49" t="s">
        <v>480</v>
      </c>
      <c r="C14" s="10"/>
      <c r="D14" s="10"/>
      <c r="E14" s="10"/>
      <c r="F14" s="10"/>
      <c r="G14" s="10"/>
      <c r="H14" s="10">
        <f t="shared" si="0"/>
        <v>0</v>
      </c>
    </row>
    <row r="15" spans="1:8" ht="13.5" customHeight="1">
      <c r="A15" s="48" t="s">
        <v>482</v>
      </c>
      <c r="B15" s="9" t="s">
        <v>45</v>
      </c>
      <c r="C15" s="12"/>
      <c r="D15" s="12"/>
      <c r="E15" s="12"/>
      <c r="F15" s="12"/>
      <c r="G15" s="12"/>
      <c r="H15" s="10">
        <f t="shared" si="0"/>
        <v>0</v>
      </c>
    </row>
    <row r="16" spans="1:8" ht="13.5" customHeight="1">
      <c r="A16" s="48" t="s">
        <v>476</v>
      </c>
      <c r="B16" s="9" t="s">
        <v>483</v>
      </c>
      <c r="C16" s="12"/>
      <c r="D16" s="12"/>
      <c r="E16" s="12"/>
      <c r="F16" s="12"/>
      <c r="G16" s="12"/>
      <c r="H16" s="10">
        <f t="shared" si="0"/>
        <v>0</v>
      </c>
    </row>
    <row r="17" spans="1:8" ht="13.5" customHeight="1">
      <c r="A17" s="48" t="s">
        <v>477</v>
      </c>
      <c r="B17" s="9" t="s">
        <v>484</v>
      </c>
      <c r="C17" s="12"/>
      <c r="D17" s="12"/>
      <c r="E17" s="12"/>
      <c r="F17" s="12"/>
      <c r="G17" s="12"/>
      <c r="H17" s="10">
        <f t="shared" si="0"/>
        <v>0</v>
      </c>
    </row>
    <row r="18" spans="1:8" ht="13.5" customHeight="1">
      <c r="A18" s="48" t="s">
        <v>486</v>
      </c>
      <c r="B18" s="9" t="s">
        <v>485</v>
      </c>
      <c r="C18" s="12"/>
      <c r="D18" s="12"/>
      <c r="E18" s="12"/>
      <c r="F18" s="12"/>
      <c r="G18" s="12"/>
      <c r="H18" s="10">
        <f t="shared" si="0"/>
        <v>0</v>
      </c>
    </row>
    <row r="19" spans="1:8" s="23" customFormat="1" ht="13.5" customHeight="1">
      <c r="A19" s="42" t="s">
        <v>488</v>
      </c>
      <c r="B19" s="49" t="s">
        <v>489</v>
      </c>
      <c r="C19" s="10">
        <f>C6+C7-C14</f>
        <v>177480000</v>
      </c>
      <c r="D19" s="10"/>
      <c r="E19" s="10"/>
      <c r="F19" s="10"/>
      <c r="G19" s="10"/>
      <c r="H19" s="10">
        <f t="shared" si="0"/>
        <v>177480000</v>
      </c>
    </row>
    <row r="20" spans="1:8" s="23" customFormat="1" ht="13.5" customHeight="1">
      <c r="A20" s="56" t="s">
        <v>490</v>
      </c>
      <c r="B20" s="49" t="s">
        <v>491</v>
      </c>
      <c r="C20" s="10"/>
      <c r="D20" s="10"/>
      <c r="E20" s="10"/>
      <c r="F20" s="10"/>
      <c r="G20" s="10"/>
      <c r="H20" s="10">
        <f t="shared" si="0"/>
        <v>0</v>
      </c>
    </row>
    <row r="21" spans="1:8" s="23" customFormat="1" ht="13.5" customHeight="1">
      <c r="A21" s="42" t="s">
        <v>470</v>
      </c>
      <c r="B21" s="49" t="s">
        <v>492</v>
      </c>
      <c r="C21" s="10">
        <v>19966500</v>
      </c>
      <c r="D21" s="10"/>
      <c r="E21" s="10"/>
      <c r="F21" s="10"/>
      <c r="G21" s="10"/>
      <c r="H21" s="10">
        <f t="shared" si="0"/>
        <v>19966500</v>
      </c>
    </row>
    <row r="22" spans="1:8" s="23" customFormat="1" ht="13.5" customHeight="1">
      <c r="A22" s="42" t="s">
        <v>472</v>
      </c>
      <c r="B22" s="49" t="s">
        <v>493</v>
      </c>
      <c r="C22" s="10">
        <f aca="true" t="shared" si="1" ref="C22:H22">SUM(C23:C26)</f>
        <v>2218500</v>
      </c>
      <c r="D22" s="10">
        <f t="shared" si="1"/>
        <v>0</v>
      </c>
      <c r="E22" s="10">
        <f t="shared" si="1"/>
        <v>0</v>
      </c>
      <c r="F22" s="10">
        <f t="shared" si="1"/>
        <v>0</v>
      </c>
      <c r="G22" s="10">
        <f t="shared" si="1"/>
        <v>0</v>
      </c>
      <c r="H22" s="10">
        <f t="shared" si="1"/>
        <v>2218500</v>
      </c>
    </row>
    <row r="23" spans="1:8" ht="13.5" customHeight="1">
      <c r="A23" s="48" t="s">
        <v>494</v>
      </c>
      <c r="B23" s="9" t="s">
        <v>495</v>
      </c>
      <c r="C23" s="12">
        <v>2218500</v>
      </c>
      <c r="D23" s="12"/>
      <c r="E23" s="12"/>
      <c r="F23" s="12"/>
      <c r="G23" s="12"/>
      <c r="H23" s="10">
        <f t="shared" si="0"/>
        <v>2218500</v>
      </c>
    </row>
    <row r="24" spans="1:8" ht="13.5" customHeight="1">
      <c r="A24" s="48" t="s">
        <v>476</v>
      </c>
      <c r="B24" s="9" t="s">
        <v>496</v>
      </c>
      <c r="C24" s="12"/>
      <c r="D24" s="12"/>
      <c r="E24" s="12"/>
      <c r="F24" s="12"/>
      <c r="G24" s="12"/>
      <c r="H24" s="10">
        <f t="shared" si="0"/>
        <v>0</v>
      </c>
    </row>
    <row r="25" spans="1:8" ht="13.5" customHeight="1">
      <c r="A25" s="48" t="s">
        <v>477</v>
      </c>
      <c r="B25" s="9" t="s">
        <v>497</v>
      </c>
      <c r="C25" s="12"/>
      <c r="D25" s="12"/>
      <c r="E25" s="12"/>
      <c r="F25" s="12"/>
      <c r="G25" s="12"/>
      <c r="H25" s="10">
        <f t="shared" si="0"/>
        <v>0</v>
      </c>
    </row>
    <row r="26" spans="1:8" ht="13.5" customHeight="1">
      <c r="A26" s="48" t="s">
        <v>478</v>
      </c>
      <c r="B26" s="9" t="s">
        <v>498</v>
      </c>
      <c r="C26" s="12"/>
      <c r="D26" s="12"/>
      <c r="E26" s="12"/>
      <c r="F26" s="12"/>
      <c r="G26" s="12"/>
      <c r="H26" s="10">
        <f t="shared" si="0"/>
        <v>0</v>
      </c>
    </row>
    <row r="27" spans="1:8" s="23" customFormat="1" ht="13.5" customHeight="1">
      <c r="A27" s="42" t="s">
        <v>479</v>
      </c>
      <c r="B27" s="49" t="s">
        <v>499</v>
      </c>
      <c r="C27" s="10"/>
      <c r="D27" s="10"/>
      <c r="E27" s="10"/>
      <c r="F27" s="10"/>
      <c r="G27" s="10"/>
      <c r="H27" s="10">
        <f t="shared" si="0"/>
        <v>0</v>
      </c>
    </row>
    <row r="28" spans="1:8" ht="13.5" customHeight="1">
      <c r="A28" s="48" t="s">
        <v>482</v>
      </c>
      <c r="B28" s="9" t="s">
        <v>500</v>
      </c>
      <c r="C28" s="12"/>
      <c r="D28" s="12"/>
      <c r="E28" s="12"/>
      <c r="F28" s="12"/>
      <c r="G28" s="12"/>
      <c r="H28" s="10">
        <f t="shared" si="0"/>
        <v>0</v>
      </c>
    </row>
    <row r="29" spans="1:8" ht="13.5" customHeight="1">
      <c r="A29" s="48" t="s">
        <v>476</v>
      </c>
      <c r="B29" s="9" t="s">
        <v>501</v>
      </c>
      <c r="C29" s="12"/>
      <c r="D29" s="12"/>
      <c r="E29" s="12"/>
      <c r="F29" s="12"/>
      <c r="G29" s="12"/>
      <c r="H29" s="10">
        <f t="shared" si="0"/>
        <v>0</v>
      </c>
    </row>
    <row r="30" spans="1:8" ht="13.5" customHeight="1">
      <c r="A30" s="48" t="s">
        <v>477</v>
      </c>
      <c r="B30" s="9" t="s">
        <v>502</v>
      </c>
      <c r="C30" s="12"/>
      <c r="D30" s="12"/>
      <c r="E30" s="12"/>
      <c r="F30" s="12"/>
      <c r="G30" s="12"/>
      <c r="H30" s="10">
        <f t="shared" si="0"/>
        <v>0</v>
      </c>
    </row>
    <row r="31" spans="1:8" ht="13.5" customHeight="1">
      <c r="A31" s="48" t="s">
        <v>486</v>
      </c>
      <c r="B31" s="9" t="s">
        <v>503</v>
      </c>
      <c r="C31" s="12"/>
      <c r="D31" s="12"/>
      <c r="E31" s="12"/>
      <c r="F31" s="12"/>
      <c r="G31" s="12"/>
      <c r="H31" s="10">
        <f t="shared" si="0"/>
        <v>0</v>
      </c>
    </row>
    <row r="32" spans="1:8" s="23" customFormat="1" ht="13.5" customHeight="1">
      <c r="A32" s="42" t="s">
        <v>488</v>
      </c>
      <c r="B32" s="49" t="s">
        <v>235</v>
      </c>
      <c r="C32" s="10">
        <f>C21+C22</f>
        <v>22185000</v>
      </c>
      <c r="D32" s="10"/>
      <c r="E32" s="10"/>
      <c r="F32" s="10"/>
      <c r="G32" s="10"/>
      <c r="H32" s="10">
        <f t="shared" si="0"/>
        <v>22185000</v>
      </c>
    </row>
    <row r="33" spans="1:8" s="23" customFormat="1" ht="13.5" customHeight="1">
      <c r="A33" s="56" t="s">
        <v>527</v>
      </c>
      <c r="B33" s="49" t="s">
        <v>237</v>
      </c>
      <c r="C33" s="10"/>
      <c r="D33" s="10"/>
      <c r="E33" s="10"/>
      <c r="F33" s="10"/>
      <c r="G33" s="10"/>
      <c r="H33" s="10">
        <f t="shared" si="0"/>
        <v>0</v>
      </c>
    </row>
    <row r="34" spans="1:8" ht="13.5" customHeight="1">
      <c r="A34" s="48" t="s">
        <v>506</v>
      </c>
      <c r="B34" s="9" t="s">
        <v>240</v>
      </c>
      <c r="C34" s="12">
        <f>C6-C21</f>
        <v>157513500</v>
      </c>
      <c r="D34" s="12"/>
      <c r="E34" s="12"/>
      <c r="F34" s="12"/>
      <c r="G34" s="12"/>
      <c r="H34" s="10">
        <f t="shared" si="0"/>
        <v>157513500</v>
      </c>
    </row>
    <row r="35" spans="1:8" ht="13.5" customHeight="1">
      <c r="A35" s="57" t="s">
        <v>507</v>
      </c>
      <c r="B35" s="17" t="s">
        <v>243</v>
      </c>
      <c r="C35" s="18">
        <f>C19-C32</f>
        <v>155295000</v>
      </c>
      <c r="D35" s="18"/>
      <c r="E35" s="18"/>
      <c r="F35" s="18"/>
      <c r="G35" s="18"/>
      <c r="H35" s="74">
        <f t="shared" si="0"/>
        <v>155295000</v>
      </c>
    </row>
    <row r="37" ht="12.75">
      <c r="F37" s="84"/>
    </row>
    <row r="39" spans="5:7" ht="12.75">
      <c r="E39" s="84"/>
      <c r="F39" s="84"/>
      <c r="G39" s="84"/>
    </row>
    <row r="41" ht="12.75">
      <c r="G41" s="84"/>
    </row>
  </sheetData>
  <sheetProtection/>
  <printOptions/>
  <pageMargins left="0.5" right="0.5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30.00390625" style="21" customWidth="1"/>
    <col min="2" max="2" width="8.7109375" style="21" customWidth="1"/>
    <col min="3" max="4" width="14.7109375" style="21" customWidth="1"/>
    <col min="5" max="5" width="11.00390625" style="21" customWidth="1"/>
    <col min="6" max="6" width="10.421875" style="21" customWidth="1"/>
    <col min="7" max="7" width="13.57421875" style="21" customWidth="1"/>
    <col min="8" max="8" width="10.8515625" style="21" customWidth="1"/>
    <col min="9" max="9" width="10.00390625" style="21" customWidth="1"/>
    <col min="10" max="10" width="14.7109375" style="21" customWidth="1"/>
    <col min="11" max="16384" width="9.140625" style="21" customWidth="1"/>
  </cols>
  <sheetData>
    <row r="1" s="36" customFormat="1" ht="15">
      <c r="A1" s="20" t="s">
        <v>545</v>
      </c>
    </row>
    <row r="2" s="36" customFormat="1" ht="15">
      <c r="J2" s="34" t="s">
        <v>2</v>
      </c>
    </row>
    <row r="3" spans="1:10" ht="14.25">
      <c r="A3" s="128" t="s">
        <v>461</v>
      </c>
      <c r="B3" s="128" t="s">
        <v>462</v>
      </c>
      <c r="C3" s="128" t="s">
        <v>7</v>
      </c>
      <c r="D3" s="128" t="s">
        <v>529</v>
      </c>
      <c r="E3" s="128" t="s">
        <v>530</v>
      </c>
      <c r="F3" s="128"/>
      <c r="G3" s="128" t="s">
        <v>531</v>
      </c>
      <c r="H3" s="128" t="s">
        <v>530</v>
      </c>
      <c r="I3" s="128"/>
      <c r="J3" s="128" t="s">
        <v>6</v>
      </c>
    </row>
    <row r="4" spans="1:10" ht="28.5">
      <c r="A4" s="128"/>
      <c r="B4" s="128"/>
      <c r="C4" s="128"/>
      <c r="D4" s="128"/>
      <c r="E4" s="39" t="s">
        <v>532</v>
      </c>
      <c r="F4" s="39" t="s">
        <v>533</v>
      </c>
      <c r="G4" s="128"/>
      <c r="H4" s="39" t="s">
        <v>532</v>
      </c>
      <c r="I4" s="39" t="s">
        <v>533</v>
      </c>
      <c r="J4" s="128"/>
    </row>
    <row r="5" spans="1:10" s="23" customFormat="1" ht="14.25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</row>
    <row r="6" spans="1:10" s="23" customFormat="1" ht="15" customHeight="1">
      <c r="A6" s="56" t="s">
        <v>534</v>
      </c>
      <c r="B6" s="65" t="s">
        <v>535</v>
      </c>
      <c r="C6" s="10"/>
      <c r="D6" s="10"/>
      <c r="E6" s="10"/>
      <c r="F6" s="10"/>
      <c r="G6" s="10"/>
      <c r="H6" s="10"/>
      <c r="I6" s="10"/>
      <c r="J6" s="10"/>
    </row>
    <row r="7" spans="1:10" ht="15" customHeight="1">
      <c r="A7" s="48" t="s">
        <v>536</v>
      </c>
      <c r="B7" s="66" t="s">
        <v>233</v>
      </c>
      <c r="C7" s="12"/>
      <c r="D7" s="12"/>
      <c r="E7" s="12"/>
      <c r="F7" s="12"/>
      <c r="G7" s="12"/>
      <c r="H7" s="12"/>
      <c r="I7" s="12"/>
      <c r="J7" s="12"/>
    </row>
    <row r="8" spans="1:10" ht="15" customHeight="1">
      <c r="A8" s="48" t="s">
        <v>537</v>
      </c>
      <c r="B8" s="66" t="s">
        <v>471</v>
      </c>
      <c r="C8" s="12"/>
      <c r="D8" s="12"/>
      <c r="E8" s="12"/>
      <c r="F8" s="12"/>
      <c r="G8" s="12"/>
      <c r="H8" s="12"/>
      <c r="I8" s="12"/>
      <c r="J8" s="12"/>
    </row>
    <row r="9" spans="1:10" ht="15" customHeight="1">
      <c r="A9" s="48" t="s">
        <v>538</v>
      </c>
      <c r="B9" s="66" t="s">
        <v>473</v>
      </c>
      <c r="C9" s="12"/>
      <c r="D9" s="12"/>
      <c r="E9" s="12"/>
      <c r="F9" s="12"/>
      <c r="G9" s="12"/>
      <c r="H9" s="12"/>
      <c r="I9" s="12"/>
      <c r="J9" s="12"/>
    </row>
    <row r="10" spans="1:10" ht="15" customHeight="1">
      <c r="A10" s="48" t="s">
        <v>539</v>
      </c>
      <c r="B10" s="66" t="s">
        <v>480</v>
      </c>
      <c r="C10" s="12"/>
      <c r="D10" s="12"/>
      <c r="E10" s="12"/>
      <c r="F10" s="12"/>
      <c r="G10" s="12"/>
      <c r="H10" s="12"/>
      <c r="I10" s="12"/>
      <c r="J10" s="12"/>
    </row>
    <row r="11" spans="1:10" ht="15" customHeight="1">
      <c r="A11" s="48"/>
      <c r="B11" s="66"/>
      <c r="C11" s="12"/>
      <c r="D11" s="12"/>
      <c r="E11" s="12"/>
      <c r="F11" s="12"/>
      <c r="G11" s="12"/>
      <c r="H11" s="12"/>
      <c r="I11" s="12"/>
      <c r="J11" s="12"/>
    </row>
    <row r="12" spans="1:10" s="23" customFormat="1" ht="15" customHeight="1">
      <c r="A12" s="56" t="s">
        <v>490</v>
      </c>
      <c r="B12" s="65" t="s">
        <v>540</v>
      </c>
      <c r="C12" s="10"/>
      <c r="D12" s="10"/>
      <c r="E12" s="10"/>
      <c r="F12" s="10"/>
      <c r="G12" s="10"/>
      <c r="H12" s="10"/>
      <c r="I12" s="10"/>
      <c r="J12" s="10"/>
    </row>
    <row r="13" spans="1:10" ht="15" customHeight="1">
      <c r="A13" s="48" t="s">
        <v>536</v>
      </c>
      <c r="B13" s="66" t="s">
        <v>237</v>
      </c>
      <c r="C13" s="12"/>
      <c r="D13" s="12"/>
      <c r="E13" s="12"/>
      <c r="F13" s="12"/>
      <c r="G13" s="12"/>
      <c r="H13" s="12"/>
      <c r="I13" s="12"/>
      <c r="J13" s="12"/>
    </row>
    <row r="14" spans="1:10" ht="15" customHeight="1">
      <c r="A14" s="48" t="s">
        <v>537</v>
      </c>
      <c r="B14" s="66" t="s">
        <v>240</v>
      </c>
      <c r="C14" s="12"/>
      <c r="D14" s="12"/>
      <c r="E14" s="12"/>
      <c r="F14" s="12"/>
      <c r="G14" s="12"/>
      <c r="H14" s="12"/>
      <c r="I14" s="12"/>
      <c r="J14" s="12"/>
    </row>
    <row r="15" spans="1:10" ht="15" customHeight="1">
      <c r="A15" s="48" t="s">
        <v>538</v>
      </c>
      <c r="B15" s="66" t="s">
        <v>243</v>
      </c>
      <c r="C15" s="12"/>
      <c r="D15" s="12"/>
      <c r="E15" s="12"/>
      <c r="F15" s="12"/>
      <c r="G15" s="12"/>
      <c r="H15" s="12"/>
      <c r="I15" s="12"/>
      <c r="J15" s="12"/>
    </row>
    <row r="16" spans="1:10" ht="15" customHeight="1">
      <c r="A16" s="48" t="s">
        <v>539</v>
      </c>
      <c r="B16" s="66" t="s">
        <v>245</v>
      </c>
      <c r="C16" s="12"/>
      <c r="D16" s="12"/>
      <c r="E16" s="12"/>
      <c r="F16" s="12"/>
      <c r="G16" s="12"/>
      <c r="H16" s="12"/>
      <c r="I16" s="12"/>
      <c r="J16" s="12"/>
    </row>
    <row r="17" spans="1:10" ht="15" customHeight="1">
      <c r="A17" s="48"/>
      <c r="B17" s="66"/>
      <c r="C17" s="12"/>
      <c r="D17" s="12"/>
      <c r="E17" s="12"/>
      <c r="F17" s="12"/>
      <c r="G17" s="12"/>
      <c r="H17" s="12"/>
      <c r="I17" s="12"/>
      <c r="J17" s="12"/>
    </row>
    <row r="18" spans="1:10" s="23" customFormat="1" ht="15" customHeight="1">
      <c r="A18" s="56" t="s">
        <v>541</v>
      </c>
      <c r="B18" s="65" t="s">
        <v>542</v>
      </c>
      <c r="C18" s="10"/>
      <c r="D18" s="10"/>
      <c r="E18" s="10"/>
      <c r="F18" s="10"/>
      <c r="G18" s="10"/>
      <c r="H18" s="10"/>
      <c r="I18" s="10"/>
      <c r="J18" s="10"/>
    </row>
    <row r="19" spans="1:10" ht="15" customHeight="1">
      <c r="A19" s="48" t="s">
        <v>536</v>
      </c>
      <c r="B19" s="66" t="s">
        <v>251</v>
      </c>
      <c r="C19" s="12"/>
      <c r="D19" s="12"/>
      <c r="E19" s="12"/>
      <c r="F19" s="12"/>
      <c r="G19" s="12"/>
      <c r="H19" s="12"/>
      <c r="I19" s="12"/>
      <c r="J19" s="12"/>
    </row>
    <row r="20" spans="1:10" ht="15" customHeight="1">
      <c r="A20" s="48" t="s">
        <v>537</v>
      </c>
      <c r="B20" s="66" t="s">
        <v>253</v>
      </c>
      <c r="C20" s="12"/>
      <c r="D20" s="12"/>
      <c r="E20" s="12"/>
      <c r="F20" s="12"/>
      <c r="G20" s="12"/>
      <c r="H20" s="12"/>
      <c r="I20" s="12"/>
      <c r="J20" s="12"/>
    </row>
    <row r="21" spans="1:10" ht="15" customHeight="1">
      <c r="A21" s="48" t="s">
        <v>538</v>
      </c>
      <c r="B21" s="66" t="s">
        <v>543</v>
      </c>
      <c r="C21" s="12"/>
      <c r="D21" s="12"/>
      <c r="E21" s="12"/>
      <c r="F21" s="12"/>
      <c r="G21" s="12"/>
      <c r="H21" s="12"/>
      <c r="I21" s="12"/>
      <c r="J21" s="12"/>
    </row>
    <row r="22" spans="1:10" ht="15" customHeight="1">
      <c r="A22" s="57" t="s">
        <v>539</v>
      </c>
      <c r="B22" s="67" t="s">
        <v>544</v>
      </c>
      <c r="C22" s="18"/>
      <c r="D22" s="18"/>
      <c r="E22" s="18"/>
      <c r="F22" s="18"/>
      <c r="G22" s="18"/>
      <c r="H22" s="18"/>
      <c r="I22" s="18"/>
      <c r="J22" s="18"/>
    </row>
  </sheetData>
  <sheetProtection/>
  <mergeCells count="8">
    <mergeCell ref="E3:F3"/>
    <mergeCell ref="G3:G4"/>
    <mergeCell ref="H3:I3"/>
    <mergeCell ref="J3:J4"/>
    <mergeCell ref="A3:A4"/>
    <mergeCell ref="B3:B4"/>
    <mergeCell ref="C3:C4"/>
    <mergeCell ref="D3:D4"/>
  </mergeCells>
  <printOptions/>
  <pageMargins left="0.5" right="0.5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C13">
      <selection activeCell="J31" sqref="J31"/>
    </sheetView>
  </sheetViews>
  <sheetFormatPr defaultColWidth="9.140625" defaultRowHeight="12.75"/>
  <cols>
    <col min="1" max="1" width="33.28125" style="21" customWidth="1"/>
    <col min="2" max="2" width="5.140625" style="38" customWidth="1"/>
    <col min="3" max="3" width="12.7109375" style="21" customWidth="1"/>
    <col min="4" max="4" width="13.421875" style="21" customWidth="1"/>
    <col min="5" max="5" width="12.28125" style="21" customWidth="1"/>
    <col min="6" max="6" width="11.28125" style="21" customWidth="1"/>
    <col min="7" max="7" width="13.28125" style="21" customWidth="1"/>
    <col min="8" max="8" width="12.28125" style="21" customWidth="1"/>
    <col min="9" max="9" width="11.57421875" style="21" customWidth="1"/>
    <col min="10" max="10" width="12.7109375" style="21" customWidth="1"/>
    <col min="11" max="16384" width="9.140625" style="21" customWidth="1"/>
  </cols>
  <sheetData>
    <row r="1" spans="1:2" s="36" customFormat="1" ht="15">
      <c r="A1" s="20" t="s">
        <v>546</v>
      </c>
      <c r="B1" s="34"/>
    </row>
    <row r="2" spans="1:10" s="36" customFormat="1" ht="15">
      <c r="A2" s="20" t="s">
        <v>576</v>
      </c>
      <c r="B2" s="34"/>
      <c r="J2" s="34" t="s">
        <v>2</v>
      </c>
    </row>
    <row r="3" spans="1:10" s="20" customFormat="1" ht="21" customHeight="1">
      <c r="A3" s="128" t="s">
        <v>461</v>
      </c>
      <c r="B3" s="128" t="s">
        <v>462</v>
      </c>
      <c r="C3" s="128" t="s">
        <v>7</v>
      </c>
      <c r="D3" s="128" t="s">
        <v>529</v>
      </c>
      <c r="E3" s="128" t="s">
        <v>530</v>
      </c>
      <c r="F3" s="128"/>
      <c r="G3" s="128" t="s">
        <v>531</v>
      </c>
      <c r="H3" s="128" t="s">
        <v>530</v>
      </c>
      <c r="I3" s="128"/>
      <c r="J3" s="128" t="s">
        <v>6</v>
      </c>
    </row>
    <row r="4" spans="1:10" s="20" customFormat="1" ht="28.5">
      <c r="A4" s="128"/>
      <c r="B4" s="128"/>
      <c r="C4" s="128"/>
      <c r="D4" s="128"/>
      <c r="E4" s="39" t="s">
        <v>532</v>
      </c>
      <c r="F4" s="39" t="s">
        <v>533</v>
      </c>
      <c r="G4" s="128"/>
      <c r="H4" s="39" t="s">
        <v>532</v>
      </c>
      <c r="I4" s="39" t="s">
        <v>533</v>
      </c>
      <c r="J4" s="128"/>
    </row>
    <row r="5" spans="1:10" s="20" customFormat="1" ht="15" customHeight="1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</row>
    <row r="6" spans="1:10" s="23" customFormat="1" ht="15" customHeight="1">
      <c r="A6" s="46" t="s">
        <v>547</v>
      </c>
      <c r="B6" s="47" t="s">
        <v>535</v>
      </c>
      <c r="C6" s="68">
        <f aca="true" t="shared" si="0" ref="C6:J6">C7+C10+C11+C12+C13+C14+C15+C16+C17+C18+C21</f>
        <v>37421410860</v>
      </c>
      <c r="D6" s="68">
        <f t="shared" si="0"/>
        <v>2503867332</v>
      </c>
      <c r="E6" s="68">
        <f t="shared" si="0"/>
        <v>0</v>
      </c>
      <c r="F6" s="68">
        <f t="shared" si="0"/>
        <v>0</v>
      </c>
      <c r="G6" s="68">
        <f t="shared" si="0"/>
        <v>5778367332</v>
      </c>
      <c r="H6" s="68">
        <f t="shared" si="0"/>
        <v>0</v>
      </c>
      <c r="I6" s="68">
        <f t="shared" si="0"/>
        <v>0</v>
      </c>
      <c r="J6" s="68">
        <f t="shared" si="0"/>
        <v>40755044461</v>
      </c>
    </row>
    <row r="7" spans="1:10" ht="15" customHeight="1">
      <c r="A7" s="41" t="s">
        <v>181</v>
      </c>
      <c r="B7" s="9" t="s">
        <v>548</v>
      </c>
      <c r="C7" s="12">
        <v>15650000000</v>
      </c>
      <c r="D7" s="12"/>
      <c r="E7" s="12"/>
      <c r="F7" s="12"/>
      <c r="G7" s="12"/>
      <c r="H7" s="12"/>
      <c r="I7" s="12"/>
      <c r="J7" s="78">
        <f aca="true" t="shared" si="1" ref="J7:J17">C7+D7-G7</f>
        <v>15650000000</v>
      </c>
    </row>
    <row r="8" spans="1:10" ht="15" customHeight="1">
      <c r="A8" s="48" t="s">
        <v>549</v>
      </c>
      <c r="B8" s="9" t="s">
        <v>550</v>
      </c>
      <c r="C8" s="12"/>
      <c r="D8" s="12"/>
      <c r="E8" s="12"/>
      <c r="F8" s="12"/>
      <c r="G8" s="12"/>
      <c r="H8" s="12"/>
      <c r="I8" s="12"/>
      <c r="J8" s="78">
        <f t="shared" si="1"/>
        <v>0</v>
      </c>
    </row>
    <row r="9" spans="1:10" ht="15" customHeight="1">
      <c r="A9" s="48" t="s">
        <v>551</v>
      </c>
      <c r="B9" s="9" t="s">
        <v>552</v>
      </c>
      <c r="C9" s="12"/>
      <c r="D9" s="12"/>
      <c r="E9" s="12"/>
      <c r="F9" s="12"/>
      <c r="G9" s="12"/>
      <c r="H9" s="12"/>
      <c r="I9" s="12"/>
      <c r="J9" s="78">
        <f t="shared" si="1"/>
        <v>0</v>
      </c>
    </row>
    <row r="10" spans="1:10" ht="15" customHeight="1">
      <c r="A10" s="41" t="s">
        <v>553</v>
      </c>
      <c r="B10" s="9" t="s">
        <v>554</v>
      </c>
      <c r="C10" s="12">
        <v>12686566099</v>
      </c>
      <c r="D10" s="12"/>
      <c r="E10" s="12"/>
      <c r="F10" s="12"/>
      <c r="G10" s="12"/>
      <c r="H10" s="12"/>
      <c r="I10" s="12"/>
      <c r="J10" s="78">
        <f t="shared" si="1"/>
        <v>12686566099</v>
      </c>
    </row>
    <row r="11" spans="1:10" ht="15" customHeight="1">
      <c r="A11" s="41" t="s">
        <v>186</v>
      </c>
      <c r="B11" s="9" t="s">
        <v>555</v>
      </c>
      <c r="C11" s="12"/>
      <c r="D11" s="12"/>
      <c r="E11" s="12"/>
      <c r="F11" s="12"/>
      <c r="G11" s="12"/>
      <c r="H11" s="12"/>
      <c r="I11" s="12"/>
      <c r="J11" s="78">
        <f t="shared" si="1"/>
        <v>0</v>
      </c>
    </row>
    <row r="12" spans="1:10" ht="15" customHeight="1">
      <c r="A12" s="41" t="s">
        <v>556</v>
      </c>
      <c r="B12" s="9" t="s">
        <v>557</v>
      </c>
      <c r="C12" s="12"/>
      <c r="D12" s="12"/>
      <c r="E12" s="12"/>
      <c r="F12" s="12"/>
      <c r="G12" s="12"/>
      <c r="H12" s="12"/>
      <c r="I12" s="12"/>
      <c r="J12" s="78">
        <f t="shared" si="1"/>
        <v>0</v>
      </c>
    </row>
    <row r="13" spans="1:10" ht="15" customHeight="1">
      <c r="A13" s="41" t="s">
        <v>190</v>
      </c>
      <c r="B13" s="9" t="s">
        <v>558</v>
      </c>
      <c r="C13" s="12"/>
      <c r="D13" s="12"/>
      <c r="E13" s="12"/>
      <c r="F13" s="12"/>
      <c r="G13" s="12"/>
      <c r="H13" s="12"/>
      <c r="I13" s="12"/>
      <c r="J13" s="78">
        <f t="shared" si="1"/>
        <v>0</v>
      </c>
    </row>
    <row r="14" spans="1:10" ht="15" customHeight="1">
      <c r="A14" s="41" t="s">
        <v>192</v>
      </c>
      <c r="B14" s="9" t="s">
        <v>559</v>
      </c>
      <c r="C14" s="12"/>
      <c r="D14" s="12"/>
      <c r="E14" s="12"/>
      <c r="F14" s="12"/>
      <c r="G14" s="12"/>
      <c r="H14" s="12"/>
      <c r="I14" s="12"/>
      <c r="J14" s="78">
        <f t="shared" si="1"/>
        <v>0</v>
      </c>
    </row>
    <row r="15" spans="1:10" ht="15" customHeight="1">
      <c r="A15" s="41" t="s">
        <v>194</v>
      </c>
      <c r="B15" s="9" t="s">
        <v>560</v>
      </c>
      <c r="C15" s="12">
        <v>1860468732</v>
      </c>
      <c r="D15" s="12">
        <v>1926030599</v>
      </c>
      <c r="E15" s="12"/>
      <c r="F15" s="12"/>
      <c r="G15" s="12"/>
      <c r="H15" s="12"/>
      <c r="I15" s="12"/>
      <c r="J15" s="78">
        <f t="shared" si="1"/>
        <v>3786499331</v>
      </c>
    </row>
    <row r="16" spans="1:10" ht="15" customHeight="1">
      <c r="A16" s="41" t="s">
        <v>196</v>
      </c>
      <c r="B16" s="9" t="s">
        <v>561</v>
      </c>
      <c r="C16" s="12">
        <v>1446008697</v>
      </c>
      <c r="D16" s="12">
        <v>577836733</v>
      </c>
      <c r="E16" s="12"/>
      <c r="F16" s="12"/>
      <c r="G16" s="12"/>
      <c r="H16" s="12"/>
      <c r="I16" s="12"/>
      <c r="J16" s="78">
        <f t="shared" si="1"/>
        <v>2023845430</v>
      </c>
    </row>
    <row r="17" spans="1:10" ht="15" customHeight="1">
      <c r="A17" s="41" t="s">
        <v>198</v>
      </c>
      <c r="B17" s="9" t="s">
        <v>562</v>
      </c>
      <c r="C17" s="12"/>
      <c r="D17" s="12"/>
      <c r="E17" s="12"/>
      <c r="F17" s="12"/>
      <c r="G17" s="12"/>
      <c r="H17" s="12"/>
      <c r="I17" s="12"/>
      <c r="J17" s="78">
        <f t="shared" si="1"/>
        <v>0</v>
      </c>
    </row>
    <row r="18" spans="1:10" ht="15" customHeight="1">
      <c r="A18" s="41" t="s">
        <v>200</v>
      </c>
      <c r="B18" s="9" t="s">
        <v>13</v>
      </c>
      <c r="C18" s="12">
        <f aca="true" t="shared" si="2" ref="C18:J18">C19+C20</f>
        <v>5778367332</v>
      </c>
      <c r="D18" s="12"/>
      <c r="E18" s="12">
        <f t="shared" si="2"/>
        <v>0</v>
      </c>
      <c r="F18" s="12">
        <f t="shared" si="2"/>
        <v>0</v>
      </c>
      <c r="G18" s="12">
        <f t="shared" si="2"/>
        <v>5778367332</v>
      </c>
      <c r="H18" s="12">
        <f t="shared" si="2"/>
        <v>0</v>
      </c>
      <c r="I18" s="12">
        <f t="shared" si="2"/>
        <v>0</v>
      </c>
      <c r="J18" s="12">
        <f t="shared" si="2"/>
        <v>6608133601</v>
      </c>
    </row>
    <row r="19" spans="1:10" ht="15" customHeight="1">
      <c r="A19" s="48" t="s">
        <v>563</v>
      </c>
      <c r="B19" s="9" t="s">
        <v>564</v>
      </c>
      <c r="C19" s="12">
        <v>5778367332</v>
      </c>
      <c r="D19" s="12"/>
      <c r="E19" s="12"/>
      <c r="F19" s="12"/>
      <c r="G19" s="12">
        <v>5778367332</v>
      </c>
      <c r="H19" s="12"/>
      <c r="I19" s="12"/>
      <c r="J19" s="78">
        <f aca="true" t="shared" si="3" ref="J19:J24">C19+D19-G19</f>
        <v>0</v>
      </c>
    </row>
    <row r="20" spans="1:10" ht="15" customHeight="1">
      <c r="A20" s="48" t="s">
        <v>565</v>
      </c>
      <c r="B20" s="9" t="s">
        <v>566</v>
      </c>
      <c r="C20" s="12"/>
      <c r="D20" s="12">
        <v>6608133601</v>
      </c>
      <c r="E20" s="12"/>
      <c r="F20" s="12"/>
      <c r="G20" s="12"/>
      <c r="H20" s="12"/>
      <c r="I20" s="12"/>
      <c r="J20" s="78">
        <f t="shared" si="3"/>
        <v>6608133601</v>
      </c>
    </row>
    <row r="21" spans="1:10" ht="15" customHeight="1">
      <c r="A21" s="41" t="s">
        <v>567</v>
      </c>
      <c r="B21" s="9" t="s">
        <v>15</v>
      </c>
      <c r="C21" s="12"/>
      <c r="D21" s="12"/>
      <c r="E21" s="12"/>
      <c r="F21" s="12"/>
      <c r="G21" s="12"/>
      <c r="H21" s="12"/>
      <c r="I21" s="12"/>
      <c r="J21" s="78">
        <f t="shared" si="3"/>
        <v>0</v>
      </c>
    </row>
    <row r="22" spans="1:10" s="23" customFormat="1" ht="15" customHeight="1">
      <c r="A22" s="42" t="s">
        <v>568</v>
      </c>
      <c r="B22" s="49" t="s">
        <v>540</v>
      </c>
      <c r="C22" s="77">
        <f aca="true" t="shared" si="4" ref="C22:I22">SUM(C23:C29)</f>
        <v>-462730619</v>
      </c>
      <c r="D22" s="54">
        <f t="shared" si="4"/>
        <v>1240000000</v>
      </c>
      <c r="E22" s="54">
        <f t="shared" si="4"/>
        <v>0</v>
      </c>
      <c r="F22" s="54">
        <f t="shared" si="4"/>
        <v>0</v>
      </c>
      <c r="G22" s="54">
        <f t="shared" si="4"/>
        <v>891009000</v>
      </c>
      <c r="H22" s="54">
        <f t="shared" si="4"/>
        <v>0</v>
      </c>
      <c r="I22" s="54">
        <f t="shared" si="4"/>
        <v>0</v>
      </c>
      <c r="J22" s="77">
        <f t="shared" si="3"/>
        <v>-113739619</v>
      </c>
    </row>
    <row r="23" spans="1:10" ht="15" customHeight="1">
      <c r="A23" s="41" t="s">
        <v>569</v>
      </c>
      <c r="B23" s="9" t="s">
        <v>237</v>
      </c>
      <c r="C23" s="76">
        <v>-146051619</v>
      </c>
      <c r="D23" s="12">
        <v>670000000</v>
      </c>
      <c r="E23" s="12"/>
      <c r="F23" s="12"/>
      <c r="G23" s="12">
        <v>451240000</v>
      </c>
      <c r="H23" s="12"/>
      <c r="I23" s="12"/>
      <c r="J23" s="76">
        <f t="shared" si="3"/>
        <v>72708381</v>
      </c>
    </row>
    <row r="24" spans="1:10" ht="15" customHeight="1">
      <c r="A24" s="41" t="s">
        <v>570</v>
      </c>
      <c r="B24" s="9" t="s">
        <v>240</v>
      </c>
      <c r="C24" s="76">
        <v>-316679000</v>
      </c>
      <c r="D24" s="12">
        <v>570000000</v>
      </c>
      <c r="E24" s="12"/>
      <c r="F24" s="12"/>
      <c r="G24" s="12">
        <v>439769000</v>
      </c>
      <c r="H24" s="12"/>
      <c r="I24" s="12"/>
      <c r="J24" s="76">
        <f t="shared" si="3"/>
        <v>-186448000</v>
      </c>
    </row>
    <row r="25" spans="1:10" ht="15" customHeight="1">
      <c r="A25" s="48" t="s">
        <v>571</v>
      </c>
      <c r="B25" s="9" t="s">
        <v>80</v>
      </c>
      <c r="C25" s="12"/>
      <c r="D25" s="12"/>
      <c r="E25" s="12"/>
      <c r="F25" s="12"/>
      <c r="G25" s="12" t="s">
        <v>683</v>
      </c>
      <c r="H25" s="12"/>
      <c r="I25" s="12"/>
      <c r="J25" s="68"/>
    </row>
    <row r="26" spans="1:10" ht="15" customHeight="1">
      <c r="A26" s="48" t="s">
        <v>572</v>
      </c>
      <c r="B26" s="9" t="s">
        <v>83</v>
      </c>
      <c r="C26" s="12"/>
      <c r="D26" s="12"/>
      <c r="E26" s="12"/>
      <c r="F26" s="12"/>
      <c r="G26" s="12"/>
      <c r="H26" s="12"/>
      <c r="I26" s="12"/>
      <c r="J26" s="78">
        <f>C26+D26-G26</f>
        <v>0</v>
      </c>
    </row>
    <row r="27" spans="1:10" ht="15" customHeight="1">
      <c r="A27" s="41" t="s">
        <v>573</v>
      </c>
      <c r="B27" s="9" t="s">
        <v>243</v>
      </c>
      <c r="C27" s="12"/>
      <c r="D27" s="12"/>
      <c r="E27" s="12"/>
      <c r="F27" s="12"/>
      <c r="G27" s="12"/>
      <c r="H27" s="12"/>
      <c r="I27" s="12"/>
      <c r="J27" s="78">
        <f>C27+D27-G27</f>
        <v>0</v>
      </c>
    </row>
    <row r="28" spans="1:10" ht="15" customHeight="1">
      <c r="A28" s="41" t="s">
        <v>574</v>
      </c>
      <c r="B28" s="9" t="s">
        <v>245</v>
      </c>
      <c r="C28" s="12"/>
      <c r="D28" s="12"/>
      <c r="E28" s="12"/>
      <c r="F28" s="12"/>
      <c r="G28" s="12"/>
      <c r="H28" s="12"/>
      <c r="I28" s="12"/>
      <c r="J28" s="78">
        <f>C28+D28-G28</f>
        <v>0</v>
      </c>
    </row>
    <row r="29" spans="1:10" ht="15" customHeight="1">
      <c r="A29" s="50" t="s">
        <v>575</v>
      </c>
      <c r="B29" s="17" t="s">
        <v>247</v>
      </c>
      <c r="C29" s="18"/>
      <c r="D29" s="18"/>
      <c r="E29" s="18"/>
      <c r="F29" s="18"/>
      <c r="G29" s="18"/>
      <c r="H29" s="18"/>
      <c r="I29" s="18"/>
      <c r="J29" s="18">
        <f>C29+D29-G29</f>
        <v>0</v>
      </c>
    </row>
  </sheetData>
  <sheetProtection/>
  <mergeCells count="8">
    <mergeCell ref="E3:F3"/>
    <mergeCell ref="G3:G4"/>
    <mergeCell ref="H3:I3"/>
    <mergeCell ref="J3:J4"/>
    <mergeCell ref="A3:A4"/>
    <mergeCell ref="B3:B4"/>
    <mergeCell ref="C3:C4"/>
    <mergeCell ref="D3:D4"/>
  </mergeCells>
  <printOptions/>
  <pageMargins left="0.5" right="0.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2010-04-21T06:47:41Z</cp:lastPrinted>
  <dcterms:created xsi:type="dcterms:W3CDTF">2009-02-04T03:14:30Z</dcterms:created>
  <dcterms:modified xsi:type="dcterms:W3CDTF">2010-04-26T07:45:05Z</dcterms:modified>
  <cp:category/>
  <cp:version/>
  <cp:contentType/>
  <cp:contentStatus/>
</cp:coreProperties>
</file>